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tabRatio="991" activeTab="0"/>
  </bookViews>
  <sheets>
    <sheet name="ТЗ" sheetId="1" r:id="rId1"/>
  </sheets>
  <externalReferences>
    <externalReference r:id="rId4"/>
  </externalReferences>
  <definedNames>
    <definedName name="_xlnm.Print_Titles" localSheetId="0">'ТЗ'!$6:$7</definedName>
    <definedName name="_xlnm.Print_Area" localSheetId="0">'ТЗ'!$A$3:$K$118</definedName>
  </definedNames>
  <calcPr fullCalcOnLoad="1"/>
</workbook>
</file>

<file path=xl/comments1.xml><?xml version="1.0" encoding="utf-8"?>
<comments xmlns="http://schemas.openxmlformats.org/spreadsheetml/2006/main">
  <authors>
    <author>Мельник Михаил Викторович</author>
  </authors>
  <commentList>
    <comment ref="F6" authorId="0">
      <text>
        <r>
          <rPr>
            <b/>
            <sz val="14"/>
            <rFont val="Tahoma"/>
            <family val="2"/>
          </rPr>
          <t>Указать Наименование организации и ИНН</t>
        </r>
      </text>
    </comment>
  </commentList>
</comments>
</file>

<file path=xl/sharedStrings.xml><?xml version="1.0" encoding="utf-8"?>
<sst xmlns="http://schemas.openxmlformats.org/spreadsheetml/2006/main" count="592" uniqueCount="197">
  <si>
    <t>Коммерческое предложение</t>
  </si>
  <si>
    <t>№
поз.</t>
  </si>
  <si>
    <t>Наименование работ и затрат</t>
  </si>
  <si>
    <t>Обозначение</t>
  </si>
  <si>
    <t>Ед. изм.</t>
  </si>
  <si>
    <t>тн</t>
  </si>
  <si>
    <t>ГОСТ 2591-2006</t>
  </si>
  <si>
    <t>шт</t>
  </si>
  <si>
    <t>ГОСТ 19903-2015</t>
  </si>
  <si>
    <t>ГОСТ 8509-93</t>
  </si>
  <si>
    <t>ГОСТ 8240-97</t>
  </si>
  <si>
    <t>м2</t>
  </si>
  <si>
    <t>Водосточкая система GALECO RAL 7021</t>
  </si>
  <si>
    <t>Фиброцементные панели ЛТМ CYNOP на подсистеме</t>
  </si>
  <si>
    <t>7. Изготовление, поставка и монтаж водосточной системы входных групп (1021.50-03-АР-5 л.1-8)</t>
  </si>
  <si>
    <t>8.  Обшивка козырьков входных групп (1021.50-03-АР-5 л.1-8)</t>
  </si>
  <si>
    <t>9.  Изготовление, поставка и монтаж декоративных стоек (1021.50-03-АР-5 л.1-8)</t>
  </si>
  <si>
    <t>Декоративная стойка из архитектурного бетона с номером подъезда RAL 7035 матовый</t>
  </si>
  <si>
    <t>10.  Изготовление, поставка и монтаж ограждения входных групп из нержавеющей стали (1021.50-03-АР-5 л.1-8)</t>
  </si>
  <si>
    <t>нет проекта</t>
  </si>
  <si>
    <t>1. Перекрытие антресоли техпространства</t>
  </si>
  <si>
    <t>Профлист Н57-750-0.8</t>
  </si>
  <si>
    <t>ГОСТ 24045-94</t>
  </si>
  <si>
    <t>Керамзитобетон, D600</t>
  </si>
  <si>
    <t>ГОСТ 25820-2014</t>
  </si>
  <si>
    <t>м3</t>
  </si>
  <si>
    <t>Пластина -8х320х220</t>
  </si>
  <si>
    <t>кг</t>
  </si>
  <si>
    <t>Уголок 80х60х6</t>
  </si>
  <si>
    <t>ГОСТ 8510-86*</t>
  </si>
  <si>
    <t>Уголок 80х6</t>
  </si>
  <si>
    <t>Профиль 200х100х5</t>
  </si>
  <si>
    <t>ГОСТ Р 54157-2010</t>
  </si>
  <si>
    <t>Двутавр 18Б2</t>
  </si>
  <si>
    <t>ГОСТ 26020-83</t>
  </si>
  <si>
    <t>Уголок 100х10</t>
  </si>
  <si>
    <t>Пластина -8х85х85</t>
  </si>
  <si>
    <t>Анкер HILTY HSV-М16/120</t>
  </si>
  <si>
    <t>2. Вертикальные лестницы на антресоль техпространства</t>
  </si>
  <si>
    <t>Уголок 50х5</t>
  </si>
  <si>
    <t>Арматура d20А500С</t>
  </si>
  <si>
    <t>ГОСТ Р 52544-2006</t>
  </si>
  <si>
    <t>Уголок 100х8</t>
  </si>
  <si>
    <t>ГОСТ 5781-82</t>
  </si>
  <si>
    <t>3. Вертикальные лестницы на кровле</t>
  </si>
  <si>
    <t>Арматура d12А240 на хим.анкере</t>
  </si>
  <si>
    <t>Площадка - ромб 0-ПН-5х1000х1250</t>
  </si>
  <si>
    <t>ГОСТ 8568-77*</t>
  </si>
  <si>
    <t>Уголок 60х5</t>
  </si>
  <si>
    <t>Уголок 75х6</t>
  </si>
  <si>
    <t>Полоса -8х160</t>
  </si>
  <si>
    <t>Ступени - ромб-5х300х970</t>
  </si>
  <si>
    <t>Полоса -10х150</t>
  </si>
  <si>
    <t>Полоса -10х100</t>
  </si>
  <si>
    <t>Прокат 25-В</t>
  </si>
  <si>
    <t>Полоса -5х12</t>
  </si>
  <si>
    <t>Полоса -5х40</t>
  </si>
  <si>
    <t>ГОСТ 103-2006</t>
  </si>
  <si>
    <t>Швеллер 14П</t>
  </si>
  <si>
    <t>Пластина -6х125</t>
  </si>
  <si>
    <t>Уголок 125х80х8</t>
  </si>
  <si>
    <t>Пластина - 10х140х140</t>
  </si>
  <si>
    <t>Арматура d8 А500С</t>
  </si>
  <si>
    <t>Анкер-шпилька HSV M12</t>
  </si>
  <si>
    <t>Труба 80х40х4</t>
  </si>
  <si>
    <t>Труба 60х40х5</t>
  </si>
  <si>
    <t>Труба 60х30х5</t>
  </si>
  <si>
    <t>Пластина -10х200х260</t>
  </si>
  <si>
    <t>ГОСТ 8510-86</t>
  </si>
  <si>
    <t>ГОСТ 30245-2012</t>
  </si>
  <si>
    <t>Двутавр 23Б1</t>
  </si>
  <si>
    <t>Двутавр 14Б1</t>
  </si>
  <si>
    <t>Пластина -10х260х260</t>
  </si>
  <si>
    <t>Пластина -10х180х180</t>
  </si>
  <si>
    <t>Клиновой анкер R-XPT 16х125/5</t>
  </si>
  <si>
    <t>Уголок 140х9</t>
  </si>
  <si>
    <t>Болт М16-6g.60.58</t>
  </si>
  <si>
    <t>Гайка М16</t>
  </si>
  <si>
    <t>Шайба М16</t>
  </si>
  <si>
    <t>RAWLPLUG S.A.</t>
  </si>
  <si>
    <t>ГОСТ 7798-70</t>
  </si>
  <si>
    <t>ГОСТ 5915-70</t>
  </si>
  <si>
    <t>ГОСТ 11371-78</t>
  </si>
  <si>
    <t>Уголок 75х5</t>
  </si>
  <si>
    <t>Полоса -5х60</t>
  </si>
  <si>
    <t>Анкер М8</t>
  </si>
  <si>
    <t>Швеллер 8П</t>
  </si>
  <si>
    <t>Уголок 110х7</t>
  </si>
  <si>
    <t>Болт М12-6g.60.58</t>
  </si>
  <si>
    <t>Гайка М12</t>
  </si>
  <si>
    <t>Шайба М12</t>
  </si>
  <si>
    <t>Швеллер 12</t>
  </si>
  <si>
    <t xml:space="preserve">4. Лестницы металлические </t>
  </si>
  <si>
    <t>Анкерный болт распорный М10х130</t>
  </si>
  <si>
    <t>Лист 5х40х50</t>
  </si>
  <si>
    <t>ГОСТ 19903-74*</t>
  </si>
  <si>
    <t>Лист 8х150х150</t>
  </si>
  <si>
    <t>Труба 50х40х4</t>
  </si>
  <si>
    <t>Труба d25х2,5</t>
  </si>
  <si>
    <t>ГОСТ 10704-91</t>
  </si>
  <si>
    <t>Лист 5х120х120</t>
  </si>
  <si>
    <t>Анкерный болт распорный М8х100</t>
  </si>
  <si>
    <t>Труба 50х25х4</t>
  </si>
  <si>
    <t>ГОСТ 8645-68*</t>
  </si>
  <si>
    <t>Навесы стеклянные, триплекс 8мм на тягах с креплением</t>
  </si>
  <si>
    <t>Болт М6х40</t>
  </si>
  <si>
    <t>Лист ГВЛВ 12,5мм</t>
  </si>
  <si>
    <t>Распорный анкер Hilti</t>
  </si>
  <si>
    <t>Стальная полоса 6х60</t>
  </si>
  <si>
    <t>Уголок стальной 4х40</t>
  </si>
  <si>
    <t>Уголок стальной 5х75</t>
  </si>
  <si>
    <t xml:space="preserve">Сварной настил из полосы 50х5 (шаг 34мм) и связующего прута d5 с шагом 38мм, 690х690 </t>
  </si>
  <si>
    <t xml:space="preserve">Сварной настил из полосы 50х5 (шаг 34мм) и связующего прута d5 с шагом 38мм, 990х990 </t>
  </si>
  <si>
    <t>Уголок стальной 50х5</t>
  </si>
  <si>
    <t>Уголок стальной 75х6</t>
  </si>
  <si>
    <t>Полоса -4х40</t>
  </si>
  <si>
    <t>Прокат 12х12</t>
  </si>
  <si>
    <t>Прокат 20х20</t>
  </si>
  <si>
    <t>Лоток стальной оцинкованный 0,7мм, ширина 120мм</t>
  </si>
  <si>
    <t>Труба d50х3,5</t>
  </si>
  <si>
    <t xml:space="preserve">5. Ограждения лестниц </t>
  </si>
  <si>
    <t>6. Крепление кладки и ограждений, ограждения переходных балконов</t>
  </si>
  <si>
    <t>7. Стойки фахверка</t>
  </si>
  <si>
    <t>8. Усиление блоков под установку витражей</t>
  </si>
  <si>
    <t>9. Стойки усиления перегородок</t>
  </si>
  <si>
    <t>10. Ограждение кровли</t>
  </si>
  <si>
    <t>11. Навесы, козырьки</t>
  </si>
  <si>
    <t>12. Противодымные экраны</t>
  </si>
  <si>
    <t>13. Сливные решетки</t>
  </si>
  <si>
    <t>14. Лотки на переходных балконах</t>
  </si>
  <si>
    <t>тендер «Изготовление, поставка и монтаж металлоконструкций в период с ноября 2020г. по апрель 2021г. для объекта Жилое здание №4 и №5 с подземной автостоянкой по адресу: Московская область, городской округ Мытищи, пос. Нагорное».</t>
  </si>
  <si>
    <t>Ячейки обязательные к заполнению выделенны зеленым цветом:</t>
  </si>
  <si>
    <t>Наименование участника / ИНН</t>
  </si>
  <si>
    <t>Цена за ед. изм, руб. с НДС</t>
  </si>
  <si>
    <t>Материалы и Работы, за ед. изм., руб. с НДС</t>
  </si>
  <si>
    <t>Всего стоимость, руб. с НДС</t>
  </si>
  <si>
    <t>Всего, руб. с НДС</t>
  </si>
  <si>
    <t>примечание</t>
  </si>
  <si>
    <t>Материалы</t>
  </si>
  <si>
    <t>Работы</t>
  </si>
  <si>
    <t>Количество</t>
  </si>
  <si>
    <t>Лот 1: «Жилое здание №4 с подземной автостоянкой по адресу: вблизи пос. Нагорное, городской округ Мытищи Московской области»</t>
  </si>
  <si>
    <t>Тендерные условия</t>
  </si>
  <si>
    <t>Наличие авансирования, не более 30% от сумы планируемого выполнения работ/услуг в первом отчетном периоде</t>
  </si>
  <si>
    <t xml:space="preserve">Банковская гарантия на авансовый платеж (при наличии аванса более 10 000 000 руб. с НДС) </t>
  </si>
  <si>
    <t>Наличие СРО</t>
  </si>
  <si>
    <t>Опыт реализации аналогичных видов работ за последние 2-3 года (указать не более 5 ключевых объектов и их заказчиков )</t>
  </si>
  <si>
    <t>Численность работающих всего / численность, планируемая для выполнения предмета тендера</t>
  </si>
  <si>
    <t>Дата регистрации компании</t>
  </si>
  <si>
    <t>Оборот за последние 3 года (указать оборот за 2017/2018/2019 год)</t>
  </si>
  <si>
    <t>Генеральный директор предприятия (ФИО - полностью, контакты: тел., e-mail)</t>
  </si>
  <si>
    <t>Контактное лицо по вопросам участия в тендере (должность, ФИО - полностью, контакты: тел., e-mail)</t>
  </si>
  <si>
    <t>Примечание к ТКП претендента</t>
  </si>
  <si>
    <t>Примечания:</t>
  </si>
  <si>
    <t>Расчет твердой договорной цены  выполнен в соответствии с приложенными ТЗ и РД</t>
  </si>
  <si>
    <t>Объемы даны без учета норм расхода</t>
  </si>
  <si>
    <t>Генеральный директор</t>
  </si>
  <si>
    <t>Арматура d16А500С</t>
  </si>
  <si>
    <t>Уголок 160х10</t>
  </si>
  <si>
    <t>Полоса -8х10</t>
  </si>
  <si>
    <t>Болт M16х45.58</t>
  </si>
  <si>
    <t>Гайка М16.5</t>
  </si>
  <si>
    <t>ГОСТ 5915-70*</t>
  </si>
  <si>
    <t>Шайба 16х3</t>
  </si>
  <si>
    <t>Швеллер 12П</t>
  </si>
  <si>
    <t>Уголок 40х4</t>
  </si>
  <si>
    <t>Арматура d12А500С</t>
  </si>
  <si>
    <t>Полоса -10х200</t>
  </si>
  <si>
    <t>Распорный анкер Hilti HAS M10х68</t>
  </si>
  <si>
    <t>5. Ограждения лестниц</t>
  </si>
  <si>
    <t>13. Ограждение лестницы спуска в подвал</t>
  </si>
  <si>
    <t>Анкерный боль распорный М10х130</t>
  </si>
  <si>
    <t>Заглушка торцевая</t>
  </si>
  <si>
    <t>Труба 30х2,5</t>
  </si>
  <si>
    <t>Труба 15х1,5</t>
  </si>
  <si>
    <t>Пластина 5х120х120</t>
  </si>
  <si>
    <t>Декоративная накрывка</t>
  </si>
  <si>
    <t>Анкерный болт распорный М8х110</t>
  </si>
  <si>
    <t>14. Сливные решетки</t>
  </si>
  <si>
    <t>15. Лотки на переходных балконах</t>
  </si>
  <si>
    <t>ВСЕГО Лот 1</t>
  </si>
  <si>
    <t>Лот 2: «Жилое здание №5 с подземной автостоянкой по адресу: вблизи пос. Нагорное, городской округ Мытищи Московской области»</t>
  </si>
  <si>
    <t>ВСЕГО Лот 2</t>
  </si>
  <si>
    <t>ВСЕГО Лот 1 и Лот 2</t>
  </si>
  <si>
    <t>Стоимость указанная в предложении включает в себя все необходимые затраты на выполнение полного комплекса работ, включая НДС</t>
  </si>
  <si>
    <t>Опыт работы с ГК ФСК (АО МСУ-1,АО МФС, 1ДСК) (при наличии текущих проектов- указать % реализации)</t>
  </si>
  <si>
    <t>%</t>
  </si>
  <si>
    <t>дней</t>
  </si>
  <si>
    <t>да/нет</t>
  </si>
  <si>
    <t>чел.</t>
  </si>
  <si>
    <t>дата</t>
  </si>
  <si>
    <t>рублей</t>
  </si>
  <si>
    <t>Срок исполнения предмета тендера</t>
  </si>
  <si>
    <t xml:space="preserve">Готовность приступить к работе по гарантийному письму Заказчика о намерениях заключить договор </t>
  </si>
  <si>
    <t>Готовность подписать договор в редакции Заказчика</t>
  </si>
  <si>
    <t xml:space="preserve">Гарантийный срок 5 лет </t>
  </si>
  <si>
    <t>Гарантийное удержание части платежей в счет обеспечения исполнения условий договора, не менее 2,5% на 5лет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</si>
</sst>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0_р_."/>
    <numFmt numFmtId="167" formatCode="0.000"/>
    <numFmt numFmtId="168" formatCode="_-* #,##0.00_р_._-;\-* #,##0.00_р_._-;_-* \-??_р_._-;_-@_-"/>
    <numFmt numFmtId="169" formatCode="_-* #,##0.000_р_._-;\-* #,##0.000_р_._-;_-* \-??_р_._-;_-@_-"/>
    <numFmt numFmtId="170" formatCode="#,##0.000"/>
    <numFmt numFmtId="171" formatCode="#,##0.00_ ;\-#,##0.00\ "/>
    <numFmt numFmtId="172" formatCode="0.00000"/>
    <numFmt numFmtId="173" formatCode="0.0000"/>
    <numFmt numFmtId="174" formatCode="0.0"/>
    <numFmt numFmtId="175" formatCode="#,##0.000_р_."/>
    <numFmt numFmtId="176" formatCode="#,##0.0_р_."/>
    <numFmt numFmtId="177" formatCode="#,##0.0000_р_."/>
    <numFmt numFmtId="178" formatCode="#,##0.00000_р_."/>
    <numFmt numFmtId="179" formatCode="#,##0.0"/>
    <numFmt numFmtId="180" formatCode="#,##0_р_."/>
  </numFmts>
  <fonts count="6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b/>
      <sz val="22"/>
      <name val="Times New Roman"/>
      <family val="1"/>
    </font>
    <font>
      <sz val="10"/>
      <color indexed="10"/>
      <name val="Times New Roman"/>
      <family val="1"/>
    </font>
    <font>
      <b/>
      <u val="single"/>
      <sz val="11"/>
      <name val="Times New Roman"/>
      <family val="1"/>
    </font>
    <font>
      <b/>
      <u val="single"/>
      <sz val="14"/>
      <name val="Times New Roman"/>
      <family val="1"/>
    </font>
    <font>
      <u val="single"/>
      <sz val="10"/>
      <color indexed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0"/>
      <name val="Times New Roman"/>
      <family val="1"/>
    </font>
    <font>
      <sz val="14"/>
      <color indexed="10"/>
      <name val="Calibri"/>
      <family val="2"/>
    </font>
    <font>
      <sz val="16"/>
      <color indexed="8"/>
      <name val="Calibri"/>
      <family val="2"/>
    </font>
    <font>
      <b/>
      <sz val="14"/>
      <name val="Tahoma"/>
      <family val="2"/>
    </font>
    <font>
      <b/>
      <sz val="16"/>
      <color indexed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Calibri"/>
      <family val="2"/>
    </font>
    <font>
      <b/>
      <sz val="16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20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C00000"/>
      <name val="Times New Roman"/>
      <family val="1"/>
    </font>
    <font>
      <sz val="14"/>
      <color rgb="FFFF0000"/>
      <name val="Calibri"/>
      <family val="2"/>
    </font>
    <font>
      <b/>
      <sz val="12"/>
      <color rgb="FFFF0000"/>
      <name val="Times New Roman"/>
      <family val="1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68" fontId="0" fillId="0" borderId="0" applyFill="0" applyBorder="0" applyAlignment="0" applyProtection="0"/>
    <xf numFmtId="164" fontId="1" fillId="0" borderId="0" applyFill="0" applyBorder="0" applyAlignment="0" applyProtection="0"/>
    <xf numFmtId="0" fontId="63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64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34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vertical="center"/>
    </xf>
    <xf numFmtId="4" fontId="9" fillId="35" borderId="10" xfId="0" applyNumberFormat="1" applyFont="1" applyFill="1" applyBorder="1" applyAlignment="1" applyProtection="1">
      <alignment horizontal="right" vertical="center"/>
      <protection locked="0"/>
    </xf>
    <xf numFmtId="49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7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Alignment="1">
      <alignment/>
    </xf>
    <xf numFmtId="4" fontId="9" fillId="36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33" borderId="10" xfId="0" applyFont="1" applyFill="1" applyBorder="1" applyAlignment="1">
      <alignment horizontal="right" vertical="center" wrapText="1"/>
    </xf>
    <xf numFmtId="175" fontId="8" fillId="33" borderId="10" xfId="0" applyNumberFormat="1" applyFont="1" applyFill="1" applyBorder="1" applyAlignment="1">
      <alignment horizontal="center" vertical="center" wrapText="1"/>
    </xf>
    <xf numFmtId="180" fontId="8" fillId="33" borderId="10" xfId="0" applyNumberFormat="1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1" fontId="8" fillId="34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167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vertical="center"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11" borderId="10" xfId="0" applyFont="1" applyFill="1" applyBorder="1" applyAlignment="1">
      <alignment horizontal="right" vertical="center" wrapText="1"/>
    </xf>
    <xf numFmtId="0" fontId="8" fillId="11" borderId="10" xfId="0" applyFont="1" applyFill="1" applyBorder="1" applyAlignment="1">
      <alignment horizontal="center" vertical="center" wrapText="1"/>
    </xf>
    <xf numFmtId="0" fontId="8" fillId="11" borderId="10" xfId="0" applyNumberFormat="1" applyFont="1" applyFill="1" applyBorder="1" applyAlignment="1">
      <alignment horizontal="center" vertical="center" wrapText="1"/>
    </xf>
    <xf numFmtId="4" fontId="64" fillId="36" borderId="10" xfId="0" applyNumberFormat="1" applyFont="1" applyFill="1" applyBorder="1" applyAlignment="1" applyProtection="1">
      <alignment horizontal="right" vertical="center" wrapText="1"/>
      <protection locked="0"/>
    </xf>
    <xf numFmtId="167" fontId="8" fillId="0" borderId="0" xfId="0" applyNumberFormat="1" applyFont="1" applyAlignment="1">
      <alignment/>
    </xf>
    <xf numFmtId="0" fontId="8" fillId="11" borderId="10" xfId="0" applyFont="1" applyFill="1" applyBorder="1" applyAlignment="1">
      <alignment horizontal="right" vertical="center"/>
    </xf>
    <xf numFmtId="167" fontId="8" fillId="11" borderId="10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65" fillId="0" borderId="0" xfId="0" applyFont="1" applyAlignment="1">
      <alignment vertical="center"/>
    </xf>
    <xf numFmtId="0" fontId="65" fillId="0" borderId="0" xfId="0" applyFont="1" applyAlignment="1">
      <alignment horizontal="center" vertical="center"/>
    </xf>
    <xf numFmtId="0" fontId="65" fillId="0" borderId="0" xfId="0" applyFont="1" applyBorder="1" applyAlignment="1">
      <alignment vertical="center"/>
    </xf>
    <xf numFmtId="0" fontId="65" fillId="0" borderId="0" xfId="0" applyFont="1" applyBorder="1" applyAlignment="1">
      <alignment horizontal="right" vertical="center"/>
    </xf>
    <xf numFmtId="0" fontId="37" fillId="0" borderId="0" xfId="52" applyFont="1" applyFill="1" applyBorder="1" applyAlignment="1">
      <alignment horizontal="center" vertical="center"/>
      <protection/>
    </xf>
    <xf numFmtId="4" fontId="7" fillId="0" borderId="11" xfId="55" applyNumberFormat="1" applyFont="1" applyBorder="1" applyAlignment="1">
      <alignment horizontal="center" vertical="center" wrapText="1"/>
      <protection/>
    </xf>
    <xf numFmtId="4" fontId="7" fillId="0" borderId="12" xfId="55" applyNumberFormat="1" applyFont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4" fontId="7" fillId="0" borderId="14" xfId="55" applyNumberFormat="1" applyFont="1" applyBorder="1" applyAlignment="1">
      <alignment horizontal="center" vertical="center" wrapText="1"/>
      <protection/>
    </xf>
    <xf numFmtId="4" fontId="7" fillId="0" borderId="15" xfId="55" applyNumberFormat="1" applyFont="1" applyBorder="1" applyAlignment="1">
      <alignment horizontal="center" vertical="center" wrapText="1"/>
      <protection/>
    </xf>
    <xf numFmtId="4" fontId="7" fillId="0" borderId="15" xfId="55" applyNumberFormat="1" applyFont="1" applyBorder="1" applyAlignment="1">
      <alignment horizontal="center" vertical="center" wrapText="1"/>
      <protection/>
    </xf>
    <xf numFmtId="0" fontId="7" fillId="0" borderId="16" xfId="0" applyFont="1" applyBorder="1" applyAlignment="1">
      <alignment horizontal="center" vertical="center" wrapText="1"/>
    </xf>
    <xf numFmtId="49" fontId="6" fillId="37" borderId="15" xfId="0" applyNumberFormat="1" applyFont="1" applyFill="1" applyBorder="1" applyAlignment="1">
      <alignment vertical="center"/>
    </xf>
    <xf numFmtId="49" fontId="6" fillId="37" borderId="17" xfId="0" applyNumberFormat="1" applyFont="1" applyFill="1" applyBorder="1" applyAlignment="1">
      <alignment horizontal="left" vertical="center"/>
    </xf>
    <xf numFmtId="49" fontId="6" fillId="37" borderId="18" xfId="0" applyNumberFormat="1" applyFont="1" applyFill="1" applyBorder="1" applyAlignment="1">
      <alignment horizontal="left" vertical="center"/>
    </xf>
    <xf numFmtId="49" fontId="6" fillId="35" borderId="19" xfId="0" applyNumberFormat="1" applyFont="1" applyFill="1" applyBorder="1" applyAlignment="1">
      <alignment vertical="center"/>
    </xf>
    <xf numFmtId="0" fontId="10" fillId="0" borderId="20" xfId="0" applyFont="1" applyFill="1" applyBorder="1" applyAlignment="1">
      <alignment/>
    </xf>
    <xf numFmtId="49" fontId="8" fillId="33" borderId="19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4" fontId="9" fillId="35" borderId="20" xfId="0" applyNumberFormat="1" applyFont="1" applyFill="1" applyBorder="1" applyAlignment="1" applyProtection="1">
      <alignment horizontal="right" vertical="center"/>
      <protection locked="0"/>
    </xf>
    <xf numFmtId="49" fontId="40" fillId="0" borderId="19" xfId="0" applyNumberFormat="1" applyFont="1" applyBorder="1" applyAlignment="1">
      <alignment vertical="center" wrapText="1"/>
    </xf>
    <xf numFmtId="49" fontId="40" fillId="0" borderId="10" xfId="0" applyNumberFormat="1" applyFont="1" applyBorder="1" applyAlignment="1">
      <alignment vertical="center" wrapText="1"/>
    </xf>
    <xf numFmtId="49" fontId="40" fillId="0" borderId="21" xfId="0" applyNumberFormat="1" applyFont="1" applyBorder="1" applyAlignment="1">
      <alignment vertical="center" wrapText="1"/>
    </xf>
    <xf numFmtId="49" fontId="40" fillId="0" borderId="22" xfId="0" applyNumberFormat="1" applyFont="1" applyBorder="1" applyAlignment="1">
      <alignment vertic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left" vertical="top"/>
    </xf>
    <xf numFmtId="0" fontId="44" fillId="0" borderId="0" xfId="0" applyFont="1" applyAlignment="1">
      <alignment horizontal="left" vertical="top" wrapText="1"/>
    </xf>
    <xf numFmtId="0" fontId="45" fillId="0" borderId="0" xfId="0" applyFont="1" applyAlignment="1">
      <alignment horizontal="left" vertical="center"/>
    </xf>
    <xf numFmtId="0" fontId="8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17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right" vertical="center"/>
    </xf>
    <xf numFmtId="1" fontId="8" fillId="0" borderId="10" xfId="0" applyNumberFormat="1" applyFont="1" applyBorder="1" applyAlignment="1">
      <alignment horizontal="center" vertical="center" wrapText="1"/>
    </xf>
    <xf numFmtId="167" fontId="8" fillId="0" borderId="10" xfId="0" applyNumberFormat="1" applyFont="1" applyBorder="1" applyAlignment="1">
      <alignment horizontal="center" vertical="center" wrapText="1"/>
    </xf>
    <xf numFmtId="49" fontId="8" fillId="38" borderId="21" xfId="0" applyNumberFormat="1" applyFont="1" applyFill="1" applyBorder="1" applyAlignment="1">
      <alignment horizontal="center" vertical="center" wrapText="1"/>
    </xf>
    <xf numFmtId="0" fontId="6" fillId="38" borderId="22" xfId="0" applyFont="1" applyFill="1" applyBorder="1" applyAlignment="1">
      <alignment horizontal="left" vertical="center" wrapText="1"/>
    </xf>
    <xf numFmtId="0" fontId="12" fillId="38" borderId="22" xfId="0" applyFont="1" applyFill="1" applyBorder="1" applyAlignment="1">
      <alignment horizontal="center" vertical="center" wrapText="1"/>
    </xf>
    <xf numFmtId="0" fontId="8" fillId="38" borderId="22" xfId="0" applyNumberFormat="1" applyFont="1" applyFill="1" applyBorder="1" applyAlignment="1">
      <alignment horizontal="center" vertical="center" wrapText="1"/>
    </xf>
    <xf numFmtId="4" fontId="6" fillId="38" borderId="22" xfId="0" applyNumberFormat="1" applyFont="1" applyFill="1" applyBorder="1" applyAlignment="1">
      <alignment horizontal="center" vertical="center" wrapText="1"/>
    </xf>
    <xf numFmtId="170" fontId="9" fillId="38" borderId="22" xfId="0" applyNumberFormat="1" applyFont="1" applyFill="1" applyBorder="1" applyAlignment="1" applyProtection="1">
      <alignment horizontal="right" vertical="center" wrapText="1"/>
      <protection locked="0"/>
    </xf>
    <xf numFmtId="4" fontId="9" fillId="38" borderId="22" xfId="0" applyNumberFormat="1" applyFont="1" applyFill="1" applyBorder="1" applyAlignment="1" applyProtection="1">
      <alignment horizontal="right" vertical="center" wrapText="1"/>
      <protection locked="0"/>
    </xf>
    <xf numFmtId="0" fontId="11" fillId="38" borderId="23" xfId="0" applyFont="1" applyFill="1" applyBorder="1" applyAlignment="1">
      <alignment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49" fontId="6" fillId="37" borderId="28" xfId="0" applyNumberFormat="1" applyFont="1" applyFill="1" applyBorder="1" applyAlignment="1">
      <alignment horizontal="left" vertical="center"/>
    </xf>
    <xf numFmtId="49" fontId="6" fillId="37" borderId="29" xfId="0" applyNumberFormat="1" applyFont="1" applyFill="1" applyBorder="1" applyAlignment="1">
      <alignment horizontal="left" vertical="center"/>
    </xf>
    <xf numFmtId="49" fontId="6" fillId="37" borderId="29" xfId="0" applyNumberFormat="1" applyFont="1" applyFill="1" applyBorder="1" applyAlignment="1">
      <alignment vertical="center"/>
    </xf>
    <xf numFmtId="49" fontId="6" fillId="37" borderId="30" xfId="0" applyNumberFormat="1" applyFont="1" applyFill="1" applyBorder="1" applyAlignment="1">
      <alignment vertical="center"/>
    </xf>
    <xf numFmtId="0" fontId="11" fillId="0" borderId="20" xfId="0" applyFont="1" applyBorder="1" applyAlignment="1">
      <alignment/>
    </xf>
    <xf numFmtId="0" fontId="8" fillId="0" borderId="20" xfId="0" applyFont="1" applyBorder="1" applyAlignment="1">
      <alignment/>
    </xf>
    <xf numFmtId="4" fontId="9" fillId="36" borderId="20" xfId="0" applyNumberFormat="1" applyFont="1" applyFill="1" applyBorder="1" applyAlignment="1" applyProtection="1">
      <alignment horizontal="right" vertical="center" wrapText="1"/>
      <protection locked="0"/>
    </xf>
    <xf numFmtId="4" fontId="9" fillId="33" borderId="20" xfId="0" applyNumberFormat="1" applyFont="1" applyFill="1" applyBorder="1" applyAlignment="1" applyProtection="1">
      <alignment horizontal="right" vertical="center" wrapText="1"/>
      <protection locked="0"/>
    </xf>
    <xf numFmtId="49" fontId="8" fillId="34" borderId="21" xfId="0" applyNumberFormat="1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left" vertical="center" wrapText="1"/>
    </xf>
    <xf numFmtId="0" fontId="12" fillId="34" borderId="22" xfId="0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 wrapText="1"/>
    </xf>
    <xf numFmtId="4" fontId="6" fillId="34" borderId="22" xfId="0" applyNumberFormat="1" applyFont="1" applyFill="1" applyBorder="1" applyAlignment="1">
      <alignment horizontal="center" vertical="center" wrapText="1"/>
    </xf>
    <xf numFmtId="170" fontId="9" fillId="34" borderId="22" xfId="0" applyNumberFormat="1" applyFont="1" applyFill="1" applyBorder="1" applyAlignment="1" applyProtection="1">
      <alignment horizontal="right" vertical="center" wrapText="1"/>
      <protection locked="0"/>
    </xf>
    <xf numFmtId="4" fontId="9" fillId="34" borderId="22" xfId="0" applyNumberFormat="1" applyFont="1" applyFill="1" applyBorder="1" applyAlignment="1" applyProtection="1">
      <alignment horizontal="right" vertical="center" wrapText="1"/>
      <protection locked="0"/>
    </xf>
    <xf numFmtId="4" fontId="9" fillId="34" borderId="23" xfId="0" applyNumberFormat="1" applyFont="1" applyFill="1" applyBorder="1" applyAlignment="1" applyProtection="1">
      <alignment horizontal="right" vertical="center" wrapText="1"/>
      <protection locked="0"/>
    </xf>
    <xf numFmtId="0" fontId="65" fillId="13" borderId="0" xfId="0" applyFont="1" applyFill="1" applyAlignment="1">
      <alignment horizontal="center" vertical="center"/>
    </xf>
    <xf numFmtId="4" fontId="9" fillId="39" borderId="10" xfId="0" applyNumberFormat="1" applyFont="1" applyFill="1" applyBorder="1" applyAlignment="1" applyProtection="1">
      <alignment horizontal="right" vertical="center" wrapText="1"/>
      <protection locked="0"/>
    </xf>
    <xf numFmtId="170" fontId="9" fillId="39" borderId="10" xfId="0" applyNumberFormat="1" applyFont="1" applyFill="1" applyBorder="1" applyAlignment="1" applyProtection="1">
      <alignment horizontal="right" vertical="center" wrapText="1"/>
      <protection locked="0"/>
    </xf>
    <xf numFmtId="4" fontId="64" fillId="39" borderId="10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Alignment="1">
      <alignment horizontal="left" vertical="center"/>
    </xf>
    <xf numFmtId="0" fontId="66" fillId="13" borderId="31" xfId="0" applyFont="1" applyFill="1" applyBorder="1" applyAlignment="1" applyProtection="1">
      <alignment horizontal="center" vertical="center" wrapText="1"/>
      <protection locked="0"/>
    </xf>
    <xf numFmtId="0" fontId="66" fillId="13" borderId="32" xfId="0" applyFont="1" applyFill="1" applyBorder="1" applyAlignment="1" applyProtection="1">
      <alignment horizontal="center" vertical="center" wrapText="1"/>
      <protection locked="0"/>
    </xf>
    <xf numFmtId="0" fontId="66" fillId="13" borderId="33" xfId="0" applyFont="1" applyFill="1" applyBorder="1" applyAlignment="1" applyProtection="1">
      <alignment horizontal="center" vertical="center" wrapText="1"/>
      <protection locked="0"/>
    </xf>
    <xf numFmtId="49" fontId="18" fillId="40" borderId="28" xfId="0" applyNumberFormat="1" applyFont="1" applyFill="1" applyBorder="1" applyAlignment="1">
      <alignment/>
    </xf>
    <xf numFmtId="0" fontId="18" fillId="40" borderId="29" xfId="0" applyFont="1" applyFill="1" applyBorder="1" applyAlignment="1">
      <alignment/>
    </xf>
    <xf numFmtId="0" fontId="46" fillId="40" borderId="29" xfId="0" applyFont="1" applyFill="1" applyBorder="1" applyAlignment="1">
      <alignment/>
    </xf>
    <xf numFmtId="4" fontId="18" fillId="40" borderId="29" xfId="0" applyNumberFormat="1" applyFont="1" applyFill="1" applyBorder="1" applyAlignment="1">
      <alignment/>
    </xf>
    <xf numFmtId="0" fontId="46" fillId="40" borderId="30" xfId="0" applyFont="1" applyFill="1" applyBorder="1" applyAlignment="1">
      <alignment/>
    </xf>
    <xf numFmtId="0" fontId="14" fillId="0" borderId="34" xfId="0" applyFont="1" applyBorder="1" applyAlignment="1">
      <alignment/>
    </xf>
    <xf numFmtId="0" fontId="14" fillId="0" borderId="35" xfId="0" applyFont="1" applyBorder="1" applyAlignment="1">
      <alignment/>
    </xf>
    <xf numFmtId="0" fontId="39" fillId="0" borderId="17" xfId="52" applyFont="1" applyBorder="1" applyAlignment="1">
      <alignment horizontal="center" vertical="center"/>
      <protection/>
    </xf>
    <xf numFmtId="0" fontId="39" fillId="0" borderId="18" xfId="52" applyFont="1" applyBorder="1" applyAlignment="1">
      <alignment horizontal="center" vertical="center"/>
      <protection/>
    </xf>
    <xf numFmtId="0" fontId="14" fillId="0" borderId="18" xfId="0" applyFont="1" applyBorder="1" applyAlignment="1">
      <alignment/>
    </xf>
    <xf numFmtId="0" fontId="14" fillId="0" borderId="36" xfId="0" applyFont="1" applyBorder="1" applyAlignment="1">
      <alignment/>
    </xf>
    <xf numFmtId="0" fontId="14" fillId="0" borderId="37" xfId="0" applyFont="1" applyBorder="1" applyAlignment="1">
      <alignment/>
    </xf>
    <xf numFmtId="0" fontId="14" fillId="0" borderId="38" xfId="0" applyFont="1" applyBorder="1" applyAlignment="1">
      <alignment/>
    </xf>
    <xf numFmtId="0" fontId="14" fillId="0" borderId="39" xfId="0" applyFont="1" applyBorder="1" applyAlignment="1">
      <alignment/>
    </xf>
    <xf numFmtId="0" fontId="14" fillId="0" borderId="40" xfId="0" applyFont="1" applyBorder="1" applyAlignment="1">
      <alignment/>
    </xf>
    <xf numFmtId="0" fontId="14" fillId="0" borderId="41" xfId="0" applyFont="1" applyBorder="1" applyAlignment="1">
      <alignment/>
    </xf>
    <xf numFmtId="0" fontId="14" fillId="0" borderId="42" xfId="0" applyFont="1" applyBorder="1" applyAlignment="1">
      <alignment/>
    </xf>
    <xf numFmtId="0" fontId="14" fillId="0" borderId="43" xfId="0" applyFont="1" applyBorder="1" applyAlignment="1">
      <alignment/>
    </xf>
    <xf numFmtId="0" fontId="40" fillId="0" borderId="34" xfId="0" applyFont="1" applyBorder="1" applyAlignment="1">
      <alignment horizontal="center"/>
    </xf>
    <xf numFmtId="0" fontId="40" fillId="0" borderId="44" xfId="0" applyFont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1" xfId="52"/>
    <cellStyle name="Обычный 2" xfId="53"/>
    <cellStyle name="Обычный 3" xfId="54"/>
    <cellStyle name="Обычный_Спецификация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lizarovaLV\AppData\Roaming\Microsoft\AddIns\PIK-Add-in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1"/>
  <sheetViews>
    <sheetView tabSelected="1" zoomScale="50" zoomScaleNormal="50" zoomScaleSheetLayoutView="90" zoomScalePageLayoutView="0" workbookViewId="0" topLeftCell="A151">
      <selection activeCell="A256" sqref="A256:E256"/>
    </sheetView>
  </sheetViews>
  <sheetFormatPr defaultColWidth="9.125" defaultRowHeight="12.75"/>
  <cols>
    <col min="1" max="1" width="9.25390625" style="33" customWidth="1"/>
    <col min="2" max="2" width="65.875" style="6" customWidth="1"/>
    <col min="3" max="3" width="29.875" style="6" customWidth="1"/>
    <col min="4" max="4" width="13.125" style="6" customWidth="1"/>
    <col min="5" max="5" width="18.375" style="6" customWidth="1"/>
    <col min="6" max="11" width="12.75390625" style="28" customWidth="1"/>
    <col min="12" max="19" width="9.125" style="6" customWidth="1"/>
    <col min="20" max="20" width="16.50390625" style="6" customWidth="1"/>
    <col min="21" max="21" width="11.875" style="6" customWidth="1"/>
    <col min="22" max="16384" width="9.125" style="6" customWidth="1"/>
  </cols>
  <sheetData>
    <row r="1" spans="2:22" ht="21">
      <c r="B1" s="57" t="s">
        <v>131</v>
      </c>
      <c r="C1" s="57"/>
      <c r="D1" s="128"/>
      <c r="E1" s="128"/>
      <c r="F1" s="56"/>
      <c r="G1" s="56"/>
      <c r="H1" s="56"/>
      <c r="I1" s="56"/>
      <c r="J1" s="56"/>
      <c r="K1" s="56"/>
      <c r="L1" s="56"/>
      <c r="M1" s="58"/>
      <c r="N1" s="58"/>
      <c r="O1" s="59"/>
      <c r="P1" s="60"/>
      <c r="Q1" s="60"/>
      <c r="R1" s="60"/>
      <c r="S1" s="60"/>
      <c r="T1" s="60"/>
      <c r="U1" s="60"/>
      <c r="V1" s="60"/>
    </row>
    <row r="2" spans="13:22" ht="12.75"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11" ht="27">
      <c r="A3" s="55" t="s">
        <v>0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8.75">
      <c r="A4" s="25"/>
      <c r="B4" s="14" t="s">
        <v>130</v>
      </c>
      <c r="C4" s="26"/>
      <c r="D4" s="27"/>
      <c r="I4" s="29"/>
      <c r="J4" s="30"/>
      <c r="K4" s="31"/>
    </row>
    <row r="5" spans="1:14" ht="15" customHeight="1" thickBot="1">
      <c r="A5" s="1"/>
      <c r="B5" s="132" t="s">
        <v>184</v>
      </c>
      <c r="C5" s="2"/>
      <c r="D5" s="2"/>
      <c r="E5" s="2"/>
      <c r="F5" s="3"/>
      <c r="G5" s="3"/>
      <c r="H5" s="3"/>
      <c r="I5" s="3"/>
      <c r="J5" s="3"/>
      <c r="K5" s="4"/>
      <c r="L5" s="5"/>
      <c r="M5" s="5"/>
      <c r="N5" s="5"/>
    </row>
    <row r="6" spans="1:14" s="8" customFormat="1" ht="58.5" customHeight="1" thickBot="1">
      <c r="A6" s="100" t="s">
        <v>1</v>
      </c>
      <c r="B6" s="103" t="s">
        <v>2</v>
      </c>
      <c r="C6" s="103" t="s">
        <v>3</v>
      </c>
      <c r="D6" s="106" t="s">
        <v>4</v>
      </c>
      <c r="E6" s="109" t="s">
        <v>140</v>
      </c>
      <c r="F6" s="133" t="s">
        <v>132</v>
      </c>
      <c r="G6" s="134"/>
      <c r="H6" s="134"/>
      <c r="I6" s="134"/>
      <c r="J6" s="134"/>
      <c r="K6" s="134"/>
      <c r="L6" s="135"/>
      <c r="M6" s="7"/>
      <c r="N6" s="7"/>
    </row>
    <row r="7" spans="1:14" s="8" customFormat="1" ht="26.25" customHeight="1">
      <c r="A7" s="101"/>
      <c r="B7" s="104"/>
      <c r="C7" s="104"/>
      <c r="D7" s="107"/>
      <c r="E7" s="110"/>
      <c r="F7" s="61" t="s">
        <v>133</v>
      </c>
      <c r="G7" s="62"/>
      <c r="H7" s="62" t="s">
        <v>134</v>
      </c>
      <c r="I7" s="62" t="s">
        <v>135</v>
      </c>
      <c r="J7" s="62"/>
      <c r="K7" s="62" t="s">
        <v>136</v>
      </c>
      <c r="L7" s="63" t="s">
        <v>137</v>
      </c>
      <c r="M7" s="7"/>
      <c r="N7" s="7"/>
    </row>
    <row r="8" spans="1:14" s="10" customFormat="1" ht="23.25" customHeight="1" thickBot="1">
      <c r="A8" s="102"/>
      <c r="B8" s="105"/>
      <c r="C8" s="105"/>
      <c r="D8" s="108"/>
      <c r="E8" s="111"/>
      <c r="F8" s="64" t="s">
        <v>138</v>
      </c>
      <c r="G8" s="65" t="s">
        <v>139</v>
      </c>
      <c r="H8" s="66"/>
      <c r="I8" s="65" t="s">
        <v>138</v>
      </c>
      <c r="J8" s="65" t="s">
        <v>139</v>
      </c>
      <c r="K8" s="66"/>
      <c r="L8" s="67"/>
      <c r="M8" s="9"/>
      <c r="N8" s="9"/>
    </row>
    <row r="9" spans="1:14" s="10" customFormat="1" ht="23.25" customHeight="1">
      <c r="A9" s="69" t="s">
        <v>141</v>
      </c>
      <c r="B9" s="70"/>
      <c r="C9" s="70"/>
      <c r="D9" s="70"/>
      <c r="E9" s="70"/>
      <c r="F9" s="68"/>
      <c r="G9" s="68"/>
      <c r="H9" s="68"/>
      <c r="I9" s="68"/>
      <c r="J9" s="68"/>
      <c r="K9" s="68"/>
      <c r="L9" s="68"/>
      <c r="M9" s="9"/>
      <c r="N9" s="9"/>
    </row>
    <row r="10" spans="1:14" s="12" customFormat="1" ht="19.5" customHeight="1">
      <c r="A10" s="71" t="s">
        <v>20</v>
      </c>
      <c r="B10" s="23"/>
      <c r="C10" s="23"/>
      <c r="D10" s="23"/>
      <c r="E10" s="23"/>
      <c r="F10" s="24"/>
      <c r="G10" s="24"/>
      <c r="H10" s="24"/>
      <c r="I10" s="24"/>
      <c r="J10" s="24"/>
      <c r="K10" s="24"/>
      <c r="L10" s="76"/>
      <c r="M10" s="11"/>
      <c r="N10" s="11"/>
    </row>
    <row r="11" spans="1:14" s="16" customFormat="1" ht="17.25" customHeight="1">
      <c r="A11" s="73"/>
      <c r="B11" s="35" t="s">
        <v>21</v>
      </c>
      <c r="C11" s="18" t="s">
        <v>22</v>
      </c>
      <c r="D11" s="19" t="s">
        <v>11</v>
      </c>
      <c r="E11" s="37">
        <f>587+482+440</f>
        <v>1509</v>
      </c>
      <c r="F11" s="129"/>
      <c r="G11" s="129"/>
      <c r="H11" s="20">
        <f>F11+G11</f>
        <v>0</v>
      </c>
      <c r="I11" s="20">
        <f>F11*$E11</f>
        <v>0</v>
      </c>
      <c r="J11" s="20">
        <f>G11*$E11</f>
        <v>0</v>
      </c>
      <c r="K11" s="20">
        <f>I11+J11</f>
        <v>0</v>
      </c>
      <c r="L11" s="74"/>
      <c r="M11" s="15"/>
      <c r="N11" s="15"/>
    </row>
    <row r="12" spans="1:14" s="16" customFormat="1" ht="17.25" customHeight="1">
      <c r="A12" s="73"/>
      <c r="B12" s="35" t="s">
        <v>23</v>
      </c>
      <c r="C12" s="18" t="s">
        <v>24</v>
      </c>
      <c r="D12" s="19" t="s">
        <v>25</v>
      </c>
      <c r="E12" s="37">
        <f>71+58+53</f>
        <v>182</v>
      </c>
      <c r="F12" s="129"/>
      <c r="G12" s="129"/>
      <c r="H12" s="20">
        <f aca="true" t="shared" si="0" ref="H12:H21">F12+G12</f>
        <v>0</v>
      </c>
      <c r="I12" s="20">
        <f aca="true" t="shared" si="1" ref="I12:I21">F12*$E12</f>
        <v>0</v>
      </c>
      <c r="J12" s="20">
        <f aca="true" t="shared" si="2" ref="J12:J21">G12*$E12</f>
        <v>0</v>
      </c>
      <c r="K12" s="20">
        <f aca="true" t="shared" si="3" ref="K12:K21">I12+J12</f>
        <v>0</v>
      </c>
      <c r="L12" s="74"/>
      <c r="M12" s="15"/>
      <c r="N12" s="15"/>
    </row>
    <row r="13" spans="1:14" s="16" customFormat="1" ht="17.25" customHeight="1">
      <c r="A13" s="73"/>
      <c r="B13" s="35" t="s">
        <v>26</v>
      </c>
      <c r="C13" s="18" t="s">
        <v>8</v>
      </c>
      <c r="D13" s="19" t="s">
        <v>5</v>
      </c>
      <c r="E13" s="36">
        <f>(42*4.42+42*4.42+52*4.42)/1000</f>
        <v>0.60112</v>
      </c>
      <c r="F13" s="129"/>
      <c r="G13" s="129"/>
      <c r="H13" s="20">
        <f t="shared" si="0"/>
        <v>0</v>
      </c>
      <c r="I13" s="20">
        <f t="shared" si="1"/>
        <v>0</v>
      </c>
      <c r="J13" s="20">
        <f t="shared" si="2"/>
        <v>0</v>
      </c>
      <c r="K13" s="20">
        <f t="shared" si="3"/>
        <v>0</v>
      </c>
      <c r="L13" s="74"/>
      <c r="M13" s="15"/>
      <c r="N13" s="15"/>
    </row>
    <row r="14" spans="1:14" s="16" customFormat="1" ht="17.25" customHeight="1">
      <c r="A14" s="73"/>
      <c r="B14" s="35" t="s">
        <v>28</v>
      </c>
      <c r="C14" s="18" t="s">
        <v>29</v>
      </c>
      <c r="D14" s="19" t="s">
        <v>5</v>
      </c>
      <c r="E14" s="36">
        <f>(112*6.39+200*0.51+109*6.39+132*0.51+105*6.39+98*0.51)/1000</f>
        <v>2.3024400000000003</v>
      </c>
      <c r="F14" s="129"/>
      <c r="G14" s="129"/>
      <c r="H14" s="20">
        <f t="shared" si="0"/>
        <v>0</v>
      </c>
      <c r="I14" s="20">
        <f t="shared" si="1"/>
        <v>0</v>
      </c>
      <c r="J14" s="20">
        <f t="shared" si="2"/>
        <v>0</v>
      </c>
      <c r="K14" s="20">
        <f t="shared" si="3"/>
        <v>0</v>
      </c>
      <c r="L14" s="74"/>
      <c r="M14" s="15"/>
      <c r="N14" s="15"/>
    </row>
    <row r="15" spans="1:14" s="16" customFormat="1" ht="17.25" customHeight="1">
      <c r="A15" s="73"/>
      <c r="B15" s="35" t="s">
        <v>30</v>
      </c>
      <c r="C15" s="18" t="s">
        <v>9</v>
      </c>
      <c r="D15" s="19" t="s">
        <v>5</v>
      </c>
      <c r="E15" s="36">
        <f>(17*7.36+9*7.36+11*7.36)/1000</f>
        <v>0.27232000000000006</v>
      </c>
      <c r="F15" s="129"/>
      <c r="G15" s="129"/>
      <c r="H15" s="20">
        <f t="shared" si="0"/>
        <v>0</v>
      </c>
      <c r="I15" s="20">
        <f t="shared" si="1"/>
        <v>0</v>
      </c>
      <c r="J15" s="20">
        <f t="shared" si="2"/>
        <v>0</v>
      </c>
      <c r="K15" s="20">
        <f t="shared" si="3"/>
        <v>0</v>
      </c>
      <c r="L15" s="74"/>
      <c r="M15" s="15"/>
      <c r="N15" s="15"/>
    </row>
    <row r="16" spans="1:14" s="16" customFormat="1" ht="17.25" customHeight="1">
      <c r="A16" s="73"/>
      <c r="B16" s="35" t="s">
        <v>31</v>
      </c>
      <c r="C16" s="18" t="s">
        <v>32</v>
      </c>
      <c r="D16" s="19" t="s">
        <v>5</v>
      </c>
      <c r="E16" s="36">
        <f>(5*98.61+6*111.97+10*120.87+21*105.29+2*98.61+13*100.84+11*103.06)/1000</f>
        <v>7.22646</v>
      </c>
      <c r="F16" s="130"/>
      <c r="G16" s="129"/>
      <c r="H16" s="20">
        <f t="shared" si="0"/>
        <v>0</v>
      </c>
      <c r="I16" s="20">
        <f t="shared" si="1"/>
        <v>0</v>
      </c>
      <c r="J16" s="20">
        <f t="shared" si="2"/>
        <v>0</v>
      </c>
      <c r="K16" s="20">
        <f t="shared" si="3"/>
        <v>0</v>
      </c>
      <c r="L16" s="74"/>
      <c r="M16" s="15"/>
      <c r="N16" s="15"/>
    </row>
    <row r="17" spans="1:14" s="16" customFormat="1" ht="17.25" customHeight="1">
      <c r="A17" s="73"/>
      <c r="B17" s="35" t="s">
        <v>33</v>
      </c>
      <c r="C17" s="18" t="s">
        <v>34</v>
      </c>
      <c r="D17" s="19" t="s">
        <v>5</v>
      </c>
      <c r="E17" s="36">
        <f>(220.96*18.8+184.21*18.8+163.92*18.8)/1000</f>
        <v>10.698891999999999</v>
      </c>
      <c r="F17" s="129"/>
      <c r="G17" s="129"/>
      <c r="H17" s="20">
        <f t="shared" si="0"/>
        <v>0</v>
      </c>
      <c r="I17" s="20">
        <f t="shared" si="1"/>
        <v>0</v>
      </c>
      <c r="J17" s="20">
        <f t="shared" si="2"/>
        <v>0</v>
      </c>
      <c r="K17" s="20">
        <f t="shared" si="3"/>
        <v>0</v>
      </c>
      <c r="L17" s="74"/>
      <c r="M17" s="15"/>
      <c r="N17" s="15"/>
    </row>
    <row r="18" spans="1:14" s="16" customFormat="1" ht="17.25" customHeight="1">
      <c r="A18" s="73"/>
      <c r="B18" s="35" t="s">
        <v>91</v>
      </c>
      <c r="C18" s="18" t="s">
        <v>10</v>
      </c>
      <c r="D18" s="19" t="s">
        <v>5</v>
      </c>
      <c r="E18" s="36">
        <f>(388.6*10.4+296.5*10.4+267.5*10.4)/1000</f>
        <v>9.90704</v>
      </c>
      <c r="F18" s="129"/>
      <c r="G18" s="129"/>
      <c r="H18" s="20">
        <f t="shared" si="0"/>
        <v>0</v>
      </c>
      <c r="I18" s="20">
        <f t="shared" si="1"/>
        <v>0</v>
      </c>
      <c r="J18" s="20">
        <f t="shared" si="2"/>
        <v>0</v>
      </c>
      <c r="K18" s="20">
        <f t="shared" si="3"/>
        <v>0</v>
      </c>
      <c r="L18" s="74"/>
      <c r="M18" s="15"/>
      <c r="N18" s="15"/>
    </row>
    <row r="19" spans="1:14" s="16" customFormat="1" ht="17.25" customHeight="1">
      <c r="A19" s="73"/>
      <c r="B19" s="35" t="s">
        <v>35</v>
      </c>
      <c r="C19" s="18" t="s">
        <v>9</v>
      </c>
      <c r="D19" s="19" t="s">
        <v>5</v>
      </c>
      <c r="E19" s="36">
        <f>(1*1.51*49+1*3.02*183+1*1.51*46+1*3.02*134+1.51*66+3.02*107)/1000</f>
        <v>1.5235900000000002</v>
      </c>
      <c r="F19" s="129"/>
      <c r="G19" s="129"/>
      <c r="H19" s="20">
        <f t="shared" si="0"/>
        <v>0</v>
      </c>
      <c r="I19" s="20">
        <f t="shared" si="1"/>
        <v>0</v>
      </c>
      <c r="J19" s="20">
        <f t="shared" si="2"/>
        <v>0</v>
      </c>
      <c r="K19" s="20">
        <f t="shared" si="3"/>
        <v>0</v>
      </c>
      <c r="L19" s="74"/>
      <c r="M19" s="15"/>
      <c r="N19" s="15"/>
    </row>
    <row r="20" spans="1:14" s="16" customFormat="1" ht="17.25" customHeight="1">
      <c r="A20" s="73"/>
      <c r="B20" s="35" t="s">
        <v>36</v>
      </c>
      <c r="C20" s="18" t="s">
        <v>8</v>
      </c>
      <c r="D20" s="19" t="s">
        <v>5</v>
      </c>
      <c r="E20" s="36">
        <f>(1*0.45*49+1*0.45*183+1*0.45*46+1*0.45*134+0.45*66+0.45*107)/1000</f>
        <v>0.26325</v>
      </c>
      <c r="F20" s="129"/>
      <c r="G20" s="129"/>
      <c r="H20" s="20">
        <f t="shared" si="0"/>
        <v>0</v>
      </c>
      <c r="I20" s="20">
        <f t="shared" si="1"/>
        <v>0</v>
      </c>
      <c r="J20" s="20">
        <f t="shared" si="2"/>
        <v>0</v>
      </c>
      <c r="K20" s="20">
        <f t="shared" si="3"/>
        <v>0</v>
      </c>
      <c r="L20" s="74"/>
      <c r="M20" s="15"/>
      <c r="N20" s="15"/>
    </row>
    <row r="21" spans="1:14" s="16" customFormat="1" ht="17.25" customHeight="1">
      <c r="A21" s="73"/>
      <c r="B21" s="35" t="s">
        <v>37</v>
      </c>
      <c r="C21" s="18"/>
      <c r="D21" s="19" t="s">
        <v>7</v>
      </c>
      <c r="E21" s="37">
        <f>450+352+422</f>
        <v>1224</v>
      </c>
      <c r="F21" s="129"/>
      <c r="G21" s="129"/>
      <c r="H21" s="20">
        <f t="shared" si="0"/>
        <v>0</v>
      </c>
      <c r="I21" s="20">
        <f t="shared" si="1"/>
        <v>0</v>
      </c>
      <c r="J21" s="20">
        <f t="shared" si="2"/>
        <v>0</v>
      </c>
      <c r="K21" s="20">
        <f t="shared" si="3"/>
        <v>0</v>
      </c>
      <c r="L21" s="74"/>
      <c r="M21" s="15"/>
      <c r="N21" s="15"/>
    </row>
    <row r="22" spans="1:14" s="12" customFormat="1" ht="19.5" customHeight="1">
      <c r="A22" s="71" t="s">
        <v>38</v>
      </c>
      <c r="B22" s="23"/>
      <c r="C22" s="23"/>
      <c r="D22" s="23"/>
      <c r="E22" s="23"/>
      <c r="F22" s="24"/>
      <c r="G22" s="24"/>
      <c r="H22" s="24"/>
      <c r="I22" s="24"/>
      <c r="J22" s="24"/>
      <c r="K22" s="24"/>
      <c r="L22" s="76"/>
      <c r="M22" s="11"/>
      <c r="N22" s="11"/>
    </row>
    <row r="23" spans="1:14" s="14" customFormat="1" ht="17.25" customHeight="1">
      <c r="A23" s="73"/>
      <c r="B23" s="41" t="s">
        <v>39</v>
      </c>
      <c r="C23" s="42" t="s">
        <v>9</v>
      </c>
      <c r="D23" s="43" t="s">
        <v>27</v>
      </c>
      <c r="E23" s="54">
        <f>58.4*2+61.5+53.2*5+52*4</f>
        <v>652.3</v>
      </c>
      <c r="F23" s="131"/>
      <c r="G23" s="131"/>
      <c r="H23" s="20">
        <f>F23+G23</f>
        <v>0</v>
      </c>
      <c r="I23" s="20">
        <f>F23*$E23</f>
        <v>0</v>
      </c>
      <c r="J23" s="20">
        <f>G23*$E23</f>
        <v>0</v>
      </c>
      <c r="K23" s="20">
        <f>I23+J23</f>
        <v>0</v>
      </c>
      <c r="L23" s="75"/>
      <c r="M23" s="13"/>
      <c r="N23" s="13"/>
    </row>
    <row r="24" spans="1:14" s="14" customFormat="1" ht="17.25" customHeight="1">
      <c r="A24" s="73"/>
      <c r="B24" s="45" t="s">
        <v>40</v>
      </c>
      <c r="C24" s="42" t="s">
        <v>41</v>
      </c>
      <c r="D24" s="43" t="s">
        <v>27</v>
      </c>
      <c r="E24" s="54">
        <f>43.3*2+43.3+43.3*5+43.3*4</f>
        <v>519.5999999999999</v>
      </c>
      <c r="F24" s="131"/>
      <c r="G24" s="131"/>
      <c r="H24" s="20">
        <f>F24+G24</f>
        <v>0</v>
      </c>
      <c r="I24" s="20">
        <f>F24*$E24</f>
        <v>0</v>
      </c>
      <c r="J24" s="20">
        <f>G24*$E24</f>
        <v>0</v>
      </c>
      <c r="K24" s="20">
        <f>I24+J24</f>
        <v>0</v>
      </c>
      <c r="L24" s="75"/>
      <c r="M24" s="13"/>
      <c r="N24" s="13"/>
    </row>
    <row r="25" spans="1:14" s="14" customFormat="1" ht="17.25" customHeight="1">
      <c r="A25" s="73"/>
      <c r="B25" s="45" t="s">
        <v>42</v>
      </c>
      <c r="C25" s="42" t="s">
        <v>9</v>
      </c>
      <c r="D25" s="43" t="s">
        <v>27</v>
      </c>
      <c r="E25" s="54">
        <f>55.8*2+55.8+55.8*5+55.8*4</f>
        <v>669.5999999999999</v>
      </c>
      <c r="F25" s="131"/>
      <c r="G25" s="131"/>
      <c r="H25" s="20">
        <f>F25+G25</f>
        <v>0</v>
      </c>
      <c r="I25" s="20">
        <f>F25*$E25</f>
        <v>0</v>
      </c>
      <c r="J25" s="20">
        <f>G25*$E25</f>
        <v>0</v>
      </c>
      <c r="K25" s="20">
        <f>I25+J25</f>
        <v>0</v>
      </c>
      <c r="L25" s="75"/>
      <c r="M25" s="13"/>
      <c r="N25" s="13"/>
    </row>
    <row r="26" spans="1:14" s="14" customFormat="1" ht="17.25" customHeight="1">
      <c r="A26" s="73"/>
      <c r="B26" s="45" t="s">
        <v>45</v>
      </c>
      <c r="C26" s="42" t="s">
        <v>43</v>
      </c>
      <c r="D26" s="43" t="s">
        <v>27</v>
      </c>
      <c r="E26" s="54">
        <f>1.8*2+1.8+1.4*5+1.4*4</f>
        <v>18</v>
      </c>
      <c r="F26" s="131"/>
      <c r="G26" s="131"/>
      <c r="H26" s="20">
        <f>F26+G26</f>
        <v>0</v>
      </c>
      <c r="I26" s="20">
        <f>F26*$E26</f>
        <v>0</v>
      </c>
      <c r="J26" s="20">
        <f>G26*$E26</f>
        <v>0</v>
      </c>
      <c r="K26" s="20">
        <f>I26+J26</f>
        <v>0</v>
      </c>
      <c r="L26" s="75"/>
      <c r="M26" s="13"/>
      <c r="N26" s="13"/>
    </row>
    <row r="27" spans="1:14" s="12" customFormat="1" ht="19.5" customHeight="1">
      <c r="A27" s="71" t="s">
        <v>44</v>
      </c>
      <c r="B27" s="23"/>
      <c r="C27" s="23"/>
      <c r="D27" s="23"/>
      <c r="E27" s="23"/>
      <c r="F27" s="24"/>
      <c r="G27" s="24"/>
      <c r="H27" s="24"/>
      <c r="I27" s="24"/>
      <c r="J27" s="24"/>
      <c r="K27" s="24"/>
      <c r="L27" s="76"/>
      <c r="M27" s="11"/>
      <c r="N27" s="11"/>
    </row>
    <row r="28" spans="1:14" s="14" customFormat="1" ht="17.25" customHeight="1">
      <c r="A28" s="73"/>
      <c r="B28" s="41" t="s">
        <v>39</v>
      </c>
      <c r="C28" s="42" t="s">
        <v>9</v>
      </c>
      <c r="D28" s="43" t="s">
        <v>27</v>
      </c>
      <c r="E28" s="54">
        <f>66.7*10+93.1</f>
        <v>760.1</v>
      </c>
      <c r="F28" s="131"/>
      <c r="G28" s="131"/>
      <c r="H28" s="20">
        <f>F28+G28</f>
        <v>0</v>
      </c>
      <c r="I28" s="20">
        <f>F28*$E28</f>
        <v>0</v>
      </c>
      <c r="J28" s="20">
        <f>G28*$E28</f>
        <v>0</v>
      </c>
      <c r="K28" s="20">
        <f>I28+J28</f>
        <v>0</v>
      </c>
      <c r="L28" s="75"/>
      <c r="M28" s="13"/>
      <c r="N28" s="13"/>
    </row>
    <row r="29" spans="1:14" s="14" customFormat="1" ht="17.25" customHeight="1">
      <c r="A29" s="73"/>
      <c r="B29" s="45" t="s">
        <v>40</v>
      </c>
      <c r="C29" s="42" t="s">
        <v>41</v>
      </c>
      <c r="D29" s="43" t="s">
        <v>27</v>
      </c>
      <c r="E29" s="54">
        <f>55.2*10+72.9</f>
        <v>624.9</v>
      </c>
      <c r="F29" s="131"/>
      <c r="G29" s="131"/>
      <c r="H29" s="20">
        <f>F29+G29</f>
        <v>0</v>
      </c>
      <c r="I29" s="20">
        <f>F29*$E29</f>
        <v>0</v>
      </c>
      <c r="J29" s="20">
        <f>G29*$E29</f>
        <v>0</v>
      </c>
      <c r="K29" s="20">
        <f>I29+J29</f>
        <v>0</v>
      </c>
      <c r="L29" s="75"/>
      <c r="M29" s="13"/>
      <c r="N29" s="13"/>
    </row>
    <row r="30" spans="1:14" s="14" customFormat="1" ht="17.25" customHeight="1">
      <c r="A30" s="73"/>
      <c r="B30" s="45" t="s">
        <v>42</v>
      </c>
      <c r="C30" s="42" t="s">
        <v>9</v>
      </c>
      <c r="D30" s="43" t="s">
        <v>27</v>
      </c>
      <c r="E30" s="54">
        <f>55.8*10+55.8</f>
        <v>613.8</v>
      </c>
      <c r="F30" s="131"/>
      <c r="G30" s="131"/>
      <c r="H30" s="20">
        <f>F30+G30</f>
        <v>0</v>
      </c>
      <c r="I30" s="20">
        <f>F30*$E30</f>
        <v>0</v>
      </c>
      <c r="J30" s="20">
        <f>G30*$E30</f>
        <v>0</v>
      </c>
      <c r="K30" s="20">
        <f>I30+J30</f>
        <v>0</v>
      </c>
      <c r="L30" s="75"/>
      <c r="M30" s="13"/>
      <c r="N30" s="13"/>
    </row>
    <row r="31" spans="1:14" s="14" customFormat="1" ht="17.25" customHeight="1">
      <c r="A31" s="73"/>
      <c r="B31" s="45" t="s">
        <v>45</v>
      </c>
      <c r="C31" s="42" t="s">
        <v>43</v>
      </c>
      <c r="D31" s="43" t="s">
        <v>27</v>
      </c>
      <c r="E31" s="54">
        <f>1.1*10+1.6</f>
        <v>12.6</v>
      </c>
      <c r="F31" s="131"/>
      <c r="G31" s="131"/>
      <c r="H31" s="20">
        <f>F31+G31</f>
        <v>0</v>
      </c>
      <c r="I31" s="20">
        <f>F31*$E31</f>
        <v>0</v>
      </c>
      <c r="J31" s="20">
        <f>G31*$E31</f>
        <v>0</v>
      </c>
      <c r="K31" s="20">
        <f>I31+J31</f>
        <v>0</v>
      </c>
      <c r="L31" s="75"/>
      <c r="M31" s="13"/>
      <c r="N31" s="13"/>
    </row>
    <row r="32" spans="1:14" s="14" customFormat="1" ht="17.25" customHeight="1">
      <c r="A32" s="71" t="s">
        <v>92</v>
      </c>
      <c r="B32" s="47"/>
      <c r="C32" s="48"/>
      <c r="D32" s="49"/>
      <c r="E32" s="53"/>
      <c r="F32" s="50"/>
      <c r="G32" s="50"/>
      <c r="H32" s="34"/>
      <c r="I32" s="34"/>
      <c r="J32" s="34"/>
      <c r="K32" s="34"/>
      <c r="L32" s="76"/>
      <c r="M32" s="13"/>
      <c r="N32" s="13"/>
    </row>
    <row r="33" spans="1:14" s="14" customFormat="1" ht="17.25" customHeight="1">
      <c r="A33" s="73"/>
      <c r="B33" s="41" t="s">
        <v>46</v>
      </c>
      <c r="C33" s="42" t="s">
        <v>47</v>
      </c>
      <c r="D33" s="43" t="s">
        <v>27</v>
      </c>
      <c r="E33" s="54">
        <f>52.4+52.4*2+52.4</f>
        <v>209.6</v>
      </c>
      <c r="F33" s="131"/>
      <c r="G33" s="131"/>
      <c r="H33" s="20">
        <f>F33+G33</f>
        <v>0</v>
      </c>
      <c r="I33" s="20">
        <f>F33*$E33</f>
        <v>0</v>
      </c>
      <c r="J33" s="20">
        <f>G33*$E33</f>
        <v>0</v>
      </c>
      <c r="K33" s="20">
        <f>I33+J33</f>
        <v>0</v>
      </c>
      <c r="L33" s="75"/>
      <c r="M33" s="13"/>
      <c r="N33" s="13"/>
    </row>
    <row r="34" spans="1:14" s="14" customFormat="1" ht="17.25" customHeight="1">
      <c r="A34" s="73"/>
      <c r="B34" s="41" t="s">
        <v>48</v>
      </c>
      <c r="C34" s="42" t="s">
        <v>9</v>
      </c>
      <c r="D34" s="43" t="s">
        <v>27</v>
      </c>
      <c r="E34" s="54">
        <f>2*5.7+2*4.6+11.4*2+9.2*2+11.4+9.2</f>
        <v>82.4</v>
      </c>
      <c r="F34" s="131"/>
      <c r="G34" s="131"/>
      <c r="H34" s="20">
        <f aca="true" t="shared" si="4" ref="H34:H43">F34+G34</f>
        <v>0</v>
      </c>
      <c r="I34" s="20">
        <f aca="true" t="shared" si="5" ref="I34:I43">F34*$E34</f>
        <v>0</v>
      </c>
      <c r="J34" s="20">
        <f aca="true" t="shared" si="6" ref="J34:J43">G34*$E34</f>
        <v>0</v>
      </c>
      <c r="K34" s="20">
        <f aca="true" t="shared" si="7" ref="K34:K43">I34+J34</f>
        <v>0</v>
      </c>
      <c r="L34" s="75"/>
      <c r="M34" s="13"/>
      <c r="N34" s="13"/>
    </row>
    <row r="35" spans="1:14" s="14" customFormat="1" ht="17.25" customHeight="1">
      <c r="A35" s="73"/>
      <c r="B35" s="41" t="s">
        <v>49</v>
      </c>
      <c r="C35" s="42" t="s">
        <v>9</v>
      </c>
      <c r="D35" s="43" t="s">
        <v>27</v>
      </c>
      <c r="E35" s="54">
        <f>4*6.4+25.6*2+25.6</f>
        <v>102.4</v>
      </c>
      <c r="F35" s="131"/>
      <c r="G35" s="131"/>
      <c r="H35" s="20">
        <f t="shared" si="4"/>
        <v>0</v>
      </c>
      <c r="I35" s="20">
        <f t="shared" si="5"/>
        <v>0</v>
      </c>
      <c r="J35" s="20">
        <f t="shared" si="6"/>
        <v>0</v>
      </c>
      <c r="K35" s="20">
        <f t="shared" si="7"/>
        <v>0</v>
      </c>
      <c r="L35" s="75"/>
      <c r="M35" s="13"/>
      <c r="N35" s="13"/>
    </row>
    <row r="36" spans="1:14" s="14" customFormat="1" ht="17.25" customHeight="1">
      <c r="A36" s="73"/>
      <c r="B36" s="41" t="s">
        <v>50</v>
      </c>
      <c r="C36" s="42" t="s">
        <v>8</v>
      </c>
      <c r="D36" s="43" t="s">
        <v>27</v>
      </c>
      <c r="E36" s="54">
        <f>2*14.3+28.6*2+28.6</f>
        <v>114.4</v>
      </c>
      <c r="F36" s="131"/>
      <c r="G36" s="131"/>
      <c r="H36" s="20">
        <f t="shared" si="4"/>
        <v>0</v>
      </c>
      <c r="I36" s="20">
        <f t="shared" si="5"/>
        <v>0</v>
      </c>
      <c r="J36" s="20">
        <f t="shared" si="6"/>
        <v>0</v>
      </c>
      <c r="K36" s="20">
        <f t="shared" si="7"/>
        <v>0</v>
      </c>
      <c r="L36" s="75"/>
      <c r="M36" s="13"/>
      <c r="N36" s="13"/>
    </row>
    <row r="37" spans="1:14" s="14" customFormat="1" ht="17.25" customHeight="1">
      <c r="A37" s="73"/>
      <c r="B37" s="41" t="s">
        <v>39</v>
      </c>
      <c r="C37" s="42" t="s">
        <v>9</v>
      </c>
      <c r="D37" s="43" t="s">
        <v>27</v>
      </c>
      <c r="E37" s="54">
        <f>8*3.7+29.6*2+29.6</f>
        <v>118.4</v>
      </c>
      <c r="F37" s="131"/>
      <c r="G37" s="131"/>
      <c r="H37" s="20">
        <f t="shared" si="4"/>
        <v>0</v>
      </c>
      <c r="I37" s="20">
        <f t="shared" si="5"/>
        <v>0</v>
      </c>
      <c r="J37" s="20">
        <f t="shared" si="6"/>
        <v>0</v>
      </c>
      <c r="K37" s="20">
        <f t="shared" si="7"/>
        <v>0</v>
      </c>
      <c r="L37" s="75"/>
      <c r="M37" s="13"/>
      <c r="N37" s="13"/>
    </row>
    <row r="38" spans="1:14" s="14" customFormat="1" ht="17.25" customHeight="1">
      <c r="A38" s="73"/>
      <c r="B38" s="41" t="s">
        <v>51</v>
      </c>
      <c r="C38" s="42" t="s">
        <v>47</v>
      </c>
      <c r="D38" s="43" t="s">
        <v>27</v>
      </c>
      <c r="E38" s="54">
        <f>4*12.4+49.6*2+49.6</f>
        <v>198.4</v>
      </c>
      <c r="F38" s="131"/>
      <c r="G38" s="131"/>
      <c r="H38" s="20">
        <f t="shared" si="4"/>
        <v>0</v>
      </c>
      <c r="I38" s="20">
        <f t="shared" si="5"/>
        <v>0</v>
      </c>
      <c r="J38" s="20">
        <f t="shared" si="6"/>
        <v>0</v>
      </c>
      <c r="K38" s="20">
        <f t="shared" si="7"/>
        <v>0</v>
      </c>
      <c r="L38" s="75"/>
      <c r="M38" s="13"/>
      <c r="N38" s="13"/>
    </row>
    <row r="39" spans="1:14" s="14" customFormat="1" ht="17.25" customHeight="1">
      <c r="A39" s="73"/>
      <c r="B39" s="41" t="s">
        <v>52</v>
      </c>
      <c r="C39" s="42" t="s">
        <v>8</v>
      </c>
      <c r="D39" s="43" t="s">
        <v>27</v>
      </c>
      <c r="E39" s="54">
        <f>4*1.8+7.2*2+7.2</f>
        <v>28.8</v>
      </c>
      <c r="F39" s="131"/>
      <c r="G39" s="131"/>
      <c r="H39" s="20">
        <f t="shared" si="4"/>
        <v>0</v>
      </c>
      <c r="I39" s="20">
        <f t="shared" si="5"/>
        <v>0</v>
      </c>
      <c r="J39" s="20">
        <f t="shared" si="6"/>
        <v>0</v>
      </c>
      <c r="K39" s="20">
        <f t="shared" si="7"/>
        <v>0</v>
      </c>
      <c r="L39" s="75"/>
      <c r="M39" s="13"/>
      <c r="N39" s="13"/>
    </row>
    <row r="40" spans="1:14" s="14" customFormat="1" ht="17.25" customHeight="1">
      <c r="A40" s="73"/>
      <c r="B40" s="41" t="s">
        <v>53</v>
      </c>
      <c r="C40" s="42" t="s">
        <v>8</v>
      </c>
      <c r="D40" s="43" t="s">
        <v>27</v>
      </c>
      <c r="E40" s="54">
        <f>2*2+4*2+4</f>
        <v>16</v>
      </c>
      <c r="F40" s="131"/>
      <c r="G40" s="131"/>
      <c r="H40" s="20">
        <f t="shared" si="4"/>
        <v>0</v>
      </c>
      <c r="I40" s="20">
        <f t="shared" si="5"/>
        <v>0</v>
      </c>
      <c r="J40" s="20">
        <f t="shared" si="6"/>
        <v>0</v>
      </c>
      <c r="K40" s="20">
        <f t="shared" si="7"/>
        <v>0</v>
      </c>
      <c r="L40" s="75"/>
      <c r="M40" s="13"/>
      <c r="N40" s="13"/>
    </row>
    <row r="41" spans="1:14" s="14" customFormat="1" ht="17.25" customHeight="1">
      <c r="A41" s="73"/>
      <c r="B41" s="41" t="s">
        <v>54</v>
      </c>
      <c r="C41" s="42" t="s">
        <v>6</v>
      </c>
      <c r="D41" s="43" t="s">
        <v>27</v>
      </c>
      <c r="E41" s="54">
        <f>4*6.2+37.2*2+49.6</f>
        <v>148.8</v>
      </c>
      <c r="F41" s="131"/>
      <c r="G41" s="131"/>
      <c r="H41" s="20">
        <f t="shared" si="4"/>
        <v>0</v>
      </c>
      <c r="I41" s="20">
        <f t="shared" si="5"/>
        <v>0</v>
      </c>
      <c r="J41" s="20">
        <f t="shared" si="6"/>
        <v>0</v>
      </c>
      <c r="K41" s="20">
        <f t="shared" si="7"/>
        <v>0</v>
      </c>
      <c r="L41" s="75"/>
      <c r="M41" s="13"/>
      <c r="N41" s="13"/>
    </row>
    <row r="42" spans="1:14" s="14" customFormat="1" ht="17.25" customHeight="1">
      <c r="A42" s="73"/>
      <c r="B42" s="41" t="s">
        <v>55</v>
      </c>
      <c r="C42" s="42" t="s">
        <v>8</v>
      </c>
      <c r="D42" s="43" t="s">
        <v>27</v>
      </c>
      <c r="E42" s="54">
        <f>13*0.5+8.5*2+13</f>
        <v>36.5</v>
      </c>
      <c r="F42" s="131"/>
      <c r="G42" s="131"/>
      <c r="H42" s="20">
        <f t="shared" si="4"/>
        <v>0</v>
      </c>
      <c r="I42" s="20">
        <f t="shared" si="5"/>
        <v>0</v>
      </c>
      <c r="J42" s="20">
        <f t="shared" si="6"/>
        <v>0</v>
      </c>
      <c r="K42" s="20">
        <f t="shared" si="7"/>
        <v>0</v>
      </c>
      <c r="L42" s="75"/>
      <c r="M42" s="13"/>
      <c r="N42" s="13"/>
    </row>
    <row r="43" spans="1:14" s="14" customFormat="1" ht="17.25" customHeight="1">
      <c r="A43" s="73"/>
      <c r="B43" s="41" t="s">
        <v>56</v>
      </c>
      <c r="C43" s="42" t="s">
        <v>8</v>
      </c>
      <c r="D43" s="43" t="s">
        <v>27</v>
      </c>
      <c r="E43" s="54">
        <f>1*7.7+7.7*2+15.4</f>
        <v>38.5</v>
      </c>
      <c r="F43" s="131"/>
      <c r="G43" s="131"/>
      <c r="H43" s="20">
        <f t="shared" si="4"/>
        <v>0</v>
      </c>
      <c r="I43" s="20">
        <f t="shared" si="5"/>
        <v>0</v>
      </c>
      <c r="J43" s="20">
        <f t="shared" si="6"/>
        <v>0</v>
      </c>
      <c r="K43" s="20">
        <f t="shared" si="7"/>
        <v>0</v>
      </c>
      <c r="L43" s="75"/>
      <c r="M43" s="13"/>
      <c r="N43" s="13"/>
    </row>
    <row r="44" spans="1:14" s="12" customFormat="1" ht="19.5" customHeight="1">
      <c r="A44" s="71" t="s">
        <v>120</v>
      </c>
      <c r="B44" s="23"/>
      <c r="C44" s="23"/>
      <c r="D44" s="23"/>
      <c r="E44" s="23"/>
      <c r="F44" s="24"/>
      <c r="G44" s="24"/>
      <c r="H44" s="24"/>
      <c r="I44" s="24"/>
      <c r="J44" s="24"/>
      <c r="K44" s="24"/>
      <c r="L44" s="76"/>
      <c r="M44" s="11"/>
      <c r="N44" s="11"/>
    </row>
    <row r="45" spans="1:16" s="14" customFormat="1" ht="18" customHeight="1">
      <c r="A45" s="73"/>
      <c r="B45" s="45" t="s">
        <v>115</v>
      </c>
      <c r="C45" s="42" t="s">
        <v>57</v>
      </c>
      <c r="D45" s="43" t="s">
        <v>27</v>
      </c>
      <c r="E45" s="54">
        <v>3338.25</v>
      </c>
      <c r="F45" s="131"/>
      <c r="G45" s="131"/>
      <c r="H45" s="20">
        <f>F45+G45</f>
        <v>0</v>
      </c>
      <c r="I45" s="20">
        <f>F45*$E45</f>
        <v>0</v>
      </c>
      <c r="J45" s="20">
        <f>G45*$E45</f>
        <v>0</v>
      </c>
      <c r="K45" s="20">
        <f>I45+J45</f>
        <v>0</v>
      </c>
      <c r="L45" s="75"/>
      <c r="M45" s="13"/>
      <c r="N45" s="13"/>
      <c r="P45" s="51"/>
    </row>
    <row r="46" spans="1:16" s="14" customFormat="1" ht="18" customHeight="1">
      <c r="A46" s="73"/>
      <c r="B46" s="45" t="s">
        <v>116</v>
      </c>
      <c r="C46" s="42" t="s">
        <v>6</v>
      </c>
      <c r="D46" s="43" t="s">
        <v>27</v>
      </c>
      <c r="E46" s="54">
        <v>4004.1</v>
      </c>
      <c r="F46" s="131"/>
      <c r="G46" s="131"/>
      <c r="H46" s="20">
        <f>F46+G46</f>
        <v>0</v>
      </c>
      <c r="I46" s="20">
        <f>F46*$E46</f>
        <v>0</v>
      </c>
      <c r="J46" s="20">
        <f>G46*$E46</f>
        <v>0</v>
      </c>
      <c r="K46" s="20">
        <f>I46+J46</f>
        <v>0</v>
      </c>
      <c r="L46" s="75"/>
      <c r="M46" s="13"/>
      <c r="N46" s="13"/>
      <c r="P46" s="51"/>
    </row>
    <row r="47" spans="1:16" s="14" customFormat="1" ht="18" customHeight="1">
      <c r="A47" s="73"/>
      <c r="B47" s="45" t="s">
        <v>117</v>
      </c>
      <c r="C47" s="42" t="s">
        <v>6</v>
      </c>
      <c r="D47" s="43" t="s">
        <v>27</v>
      </c>
      <c r="E47" s="54">
        <v>5183.42</v>
      </c>
      <c r="F47" s="131"/>
      <c r="G47" s="131"/>
      <c r="H47" s="20">
        <f>F47+G47</f>
        <v>0</v>
      </c>
      <c r="I47" s="20">
        <f>F47*$E47</f>
        <v>0</v>
      </c>
      <c r="J47" s="20">
        <f>G47*$E47</f>
        <v>0</v>
      </c>
      <c r="K47" s="20">
        <f>I47+J47</f>
        <v>0</v>
      </c>
      <c r="L47" s="75"/>
      <c r="M47" s="13"/>
      <c r="N47" s="13"/>
      <c r="P47" s="51"/>
    </row>
    <row r="48" spans="1:16" s="14" customFormat="1" ht="18" customHeight="1">
      <c r="A48" s="71" t="s">
        <v>121</v>
      </c>
      <c r="B48" s="52"/>
      <c r="C48" s="48"/>
      <c r="D48" s="49"/>
      <c r="E48" s="53"/>
      <c r="F48" s="50"/>
      <c r="G48" s="50"/>
      <c r="H48" s="34"/>
      <c r="I48" s="34"/>
      <c r="J48" s="34"/>
      <c r="K48" s="34"/>
      <c r="L48" s="76"/>
      <c r="M48" s="13"/>
      <c r="N48" s="13"/>
      <c r="P48" s="51"/>
    </row>
    <row r="49" spans="1:16" s="14" customFormat="1" ht="18" customHeight="1">
      <c r="A49" s="73"/>
      <c r="B49" s="45" t="s">
        <v>59</v>
      </c>
      <c r="C49" s="42" t="s">
        <v>57</v>
      </c>
      <c r="D49" s="43" t="s">
        <v>27</v>
      </c>
      <c r="E49" s="54">
        <f>60.23+60.23+87.61</f>
        <v>208.07</v>
      </c>
      <c r="F49" s="131"/>
      <c r="G49" s="131"/>
      <c r="H49" s="20">
        <f>F49+G49</f>
        <v>0</v>
      </c>
      <c r="I49" s="20">
        <f>F49*$E49</f>
        <v>0</v>
      </c>
      <c r="J49" s="20">
        <f>G49*$E49</f>
        <v>0</v>
      </c>
      <c r="K49" s="20">
        <f>I49+J49</f>
        <v>0</v>
      </c>
      <c r="L49" s="75"/>
      <c r="M49" s="13"/>
      <c r="N49" s="13"/>
      <c r="P49" s="51"/>
    </row>
    <row r="50" spans="1:16" s="14" customFormat="1" ht="18" customHeight="1">
      <c r="A50" s="73"/>
      <c r="B50" s="45" t="s">
        <v>58</v>
      </c>
      <c r="C50" s="42" t="s">
        <v>10</v>
      </c>
      <c r="D50" s="43" t="s">
        <v>27</v>
      </c>
      <c r="E50" s="54">
        <f>81.18+1591.13+642.68+81.18+1591.13+695.44+118.08+2314.37+1141.44</f>
        <v>8256.63</v>
      </c>
      <c r="F50" s="131"/>
      <c r="G50" s="131"/>
      <c r="H50" s="20">
        <f aca="true" t="shared" si="8" ref="H50:H58">F50+G50</f>
        <v>0</v>
      </c>
      <c r="I50" s="20">
        <f aca="true" t="shared" si="9" ref="I50:I58">F50*$E50</f>
        <v>0</v>
      </c>
      <c r="J50" s="20">
        <f aca="true" t="shared" si="10" ref="J50:J58">G50*$E50</f>
        <v>0</v>
      </c>
      <c r="K50" s="20">
        <f aca="true" t="shared" si="11" ref="K50:K58">I50+J50</f>
        <v>0</v>
      </c>
      <c r="L50" s="75"/>
      <c r="M50" s="13"/>
      <c r="N50" s="13"/>
      <c r="P50" s="51"/>
    </row>
    <row r="51" spans="1:16" s="14" customFormat="1" ht="18" customHeight="1">
      <c r="A51" s="73"/>
      <c r="B51" s="45" t="s">
        <v>60</v>
      </c>
      <c r="C51" s="42" t="s">
        <v>68</v>
      </c>
      <c r="D51" s="43" t="s">
        <v>27</v>
      </c>
      <c r="E51" s="54">
        <f>55.35+55.35+80.51</f>
        <v>191.21</v>
      </c>
      <c r="F51" s="131"/>
      <c r="G51" s="131"/>
      <c r="H51" s="20">
        <f t="shared" si="8"/>
        <v>0</v>
      </c>
      <c r="I51" s="20">
        <f t="shared" si="9"/>
        <v>0</v>
      </c>
      <c r="J51" s="20">
        <f t="shared" si="10"/>
        <v>0</v>
      </c>
      <c r="K51" s="20">
        <f t="shared" si="11"/>
        <v>0</v>
      </c>
      <c r="L51" s="75"/>
      <c r="M51" s="13"/>
      <c r="N51" s="13"/>
      <c r="P51" s="51"/>
    </row>
    <row r="52" spans="1:16" s="14" customFormat="1" ht="18" customHeight="1">
      <c r="A52" s="73"/>
      <c r="B52" s="45" t="s">
        <v>61</v>
      </c>
      <c r="C52" s="42" t="s">
        <v>57</v>
      </c>
      <c r="D52" s="43" t="s">
        <v>27</v>
      </c>
      <c r="E52" s="54">
        <f>33.85+33.85+49.24</f>
        <v>116.94</v>
      </c>
      <c r="F52" s="131"/>
      <c r="G52" s="131"/>
      <c r="H52" s="20">
        <f t="shared" si="8"/>
        <v>0</v>
      </c>
      <c r="I52" s="20">
        <f t="shared" si="9"/>
        <v>0</v>
      </c>
      <c r="J52" s="20">
        <f t="shared" si="10"/>
        <v>0</v>
      </c>
      <c r="K52" s="20">
        <f t="shared" si="11"/>
        <v>0</v>
      </c>
      <c r="L52" s="75"/>
      <c r="M52" s="13"/>
      <c r="N52" s="13"/>
      <c r="P52" s="51"/>
    </row>
    <row r="53" spans="1:16" s="14" customFormat="1" ht="18" customHeight="1">
      <c r="A53" s="73"/>
      <c r="B53" s="45" t="s">
        <v>62</v>
      </c>
      <c r="C53" s="42" t="s">
        <v>41</v>
      </c>
      <c r="D53" s="43" t="s">
        <v>27</v>
      </c>
      <c r="E53" s="54">
        <f>177.97+84.47+83.08+119.32+99.1</f>
        <v>563.9399999999999</v>
      </c>
      <c r="F53" s="131"/>
      <c r="G53" s="131"/>
      <c r="H53" s="20">
        <f t="shared" si="8"/>
        <v>0</v>
      </c>
      <c r="I53" s="20">
        <f t="shared" si="9"/>
        <v>0</v>
      </c>
      <c r="J53" s="20">
        <f t="shared" si="10"/>
        <v>0</v>
      </c>
      <c r="K53" s="20">
        <f t="shared" si="11"/>
        <v>0</v>
      </c>
      <c r="L53" s="75"/>
      <c r="M53" s="13"/>
      <c r="N53" s="13"/>
      <c r="P53" s="51"/>
    </row>
    <row r="54" spans="1:16" s="14" customFormat="1" ht="18" customHeight="1">
      <c r="A54" s="73"/>
      <c r="B54" s="45" t="s">
        <v>63</v>
      </c>
      <c r="C54" s="42"/>
      <c r="D54" s="43" t="s">
        <v>7</v>
      </c>
      <c r="E54" s="46">
        <f>16*11+121+16*11+121+16*16+176</f>
        <v>1026</v>
      </c>
      <c r="F54" s="131"/>
      <c r="G54" s="131"/>
      <c r="H54" s="20">
        <f t="shared" si="8"/>
        <v>0</v>
      </c>
      <c r="I54" s="20">
        <f t="shared" si="9"/>
        <v>0</v>
      </c>
      <c r="J54" s="20">
        <f t="shared" si="10"/>
        <v>0</v>
      </c>
      <c r="K54" s="20">
        <f t="shared" si="11"/>
        <v>0</v>
      </c>
      <c r="L54" s="75"/>
      <c r="M54" s="13"/>
      <c r="N54" s="13"/>
      <c r="P54" s="51"/>
    </row>
    <row r="55" spans="1:16" s="14" customFormat="1" ht="18" customHeight="1">
      <c r="A55" s="73"/>
      <c r="B55" s="45" t="s">
        <v>64</v>
      </c>
      <c r="C55" s="42" t="s">
        <v>69</v>
      </c>
      <c r="D55" s="43" t="s">
        <v>27</v>
      </c>
      <c r="E55" s="54">
        <f>31.87*11+34.49*11+38.92*16</f>
        <v>1352.68</v>
      </c>
      <c r="F55" s="131"/>
      <c r="G55" s="131"/>
      <c r="H55" s="20">
        <f t="shared" si="8"/>
        <v>0</v>
      </c>
      <c r="I55" s="20">
        <f t="shared" si="9"/>
        <v>0</v>
      </c>
      <c r="J55" s="20">
        <f t="shared" si="10"/>
        <v>0</v>
      </c>
      <c r="K55" s="20">
        <f t="shared" si="11"/>
        <v>0</v>
      </c>
      <c r="L55" s="75"/>
      <c r="M55" s="13"/>
      <c r="N55" s="13"/>
      <c r="P55" s="51"/>
    </row>
    <row r="56" spans="1:16" s="14" customFormat="1" ht="18" customHeight="1">
      <c r="A56" s="73"/>
      <c r="B56" s="45" t="s">
        <v>65</v>
      </c>
      <c r="C56" s="42" t="s">
        <v>69</v>
      </c>
      <c r="D56" s="43" t="s">
        <v>27</v>
      </c>
      <c r="E56" s="54">
        <f>32.93*11+32.93*11+32.93*16</f>
        <v>1251.3400000000001</v>
      </c>
      <c r="F56" s="131"/>
      <c r="G56" s="131"/>
      <c r="H56" s="20">
        <f t="shared" si="8"/>
        <v>0</v>
      </c>
      <c r="I56" s="20">
        <f t="shared" si="9"/>
        <v>0</v>
      </c>
      <c r="J56" s="20">
        <f t="shared" si="10"/>
        <v>0</v>
      </c>
      <c r="K56" s="20">
        <f t="shared" si="11"/>
        <v>0</v>
      </c>
      <c r="L56" s="75"/>
      <c r="M56" s="13"/>
      <c r="N56" s="13"/>
      <c r="P56" s="51"/>
    </row>
    <row r="57" spans="1:16" s="14" customFormat="1" ht="18" customHeight="1">
      <c r="A57" s="73"/>
      <c r="B57" s="45" t="s">
        <v>66</v>
      </c>
      <c r="C57" s="42" t="s">
        <v>69</v>
      </c>
      <c r="D57" s="43" t="s">
        <v>27</v>
      </c>
      <c r="E57" s="54">
        <f>25.97*11+28.16*11+32.02*16</f>
        <v>1107.75</v>
      </c>
      <c r="F57" s="131"/>
      <c r="G57" s="131"/>
      <c r="H57" s="20">
        <f t="shared" si="8"/>
        <v>0</v>
      </c>
      <c r="I57" s="20">
        <f t="shared" si="9"/>
        <v>0</v>
      </c>
      <c r="J57" s="20">
        <f t="shared" si="10"/>
        <v>0</v>
      </c>
      <c r="K57" s="20">
        <f t="shared" si="11"/>
        <v>0</v>
      </c>
      <c r="L57" s="75"/>
      <c r="M57" s="13"/>
      <c r="N57" s="13"/>
      <c r="P57" s="51"/>
    </row>
    <row r="58" spans="1:16" s="14" customFormat="1" ht="18" customHeight="1">
      <c r="A58" s="73"/>
      <c r="B58" s="45" t="s">
        <v>67</v>
      </c>
      <c r="C58" s="42" t="s">
        <v>57</v>
      </c>
      <c r="D58" s="43" t="s">
        <v>27</v>
      </c>
      <c r="E58" s="54">
        <f>16.32*11+16.32*11+16.32*16</f>
        <v>620.1600000000001</v>
      </c>
      <c r="F58" s="131"/>
      <c r="G58" s="131"/>
      <c r="H58" s="20">
        <f t="shared" si="8"/>
        <v>0</v>
      </c>
      <c r="I58" s="20">
        <f t="shared" si="9"/>
        <v>0</v>
      </c>
      <c r="J58" s="20">
        <f t="shared" si="10"/>
        <v>0</v>
      </c>
      <c r="K58" s="20">
        <f t="shared" si="11"/>
        <v>0</v>
      </c>
      <c r="L58" s="75"/>
      <c r="M58" s="13"/>
      <c r="N58" s="13"/>
      <c r="P58" s="51"/>
    </row>
    <row r="59" spans="1:16" s="14" customFormat="1" ht="18" customHeight="1">
      <c r="A59" s="71" t="s">
        <v>122</v>
      </c>
      <c r="B59" s="52"/>
      <c r="C59" s="48"/>
      <c r="D59" s="49"/>
      <c r="E59" s="53"/>
      <c r="F59" s="50"/>
      <c r="G59" s="50"/>
      <c r="H59" s="34"/>
      <c r="I59" s="34"/>
      <c r="J59" s="34"/>
      <c r="K59" s="34"/>
      <c r="L59" s="76"/>
      <c r="M59" s="13"/>
      <c r="N59" s="13"/>
      <c r="P59" s="51"/>
    </row>
    <row r="60" spans="1:16" s="14" customFormat="1" ht="18" customHeight="1">
      <c r="A60" s="73"/>
      <c r="B60" s="45" t="s">
        <v>70</v>
      </c>
      <c r="C60" s="42" t="s">
        <v>34</v>
      </c>
      <c r="D60" s="43" t="s">
        <v>27</v>
      </c>
      <c r="E60" s="54">
        <f>225+306.5+961.8+120.2+245.6+752.3</f>
        <v>2611.3999999999996</v>
      </c>
      <c r="F60" s="131"/>
      <c r="G60" s="131"/>
      <c r="H60" s="20">
        <f>F60+G60</f>
        <v>0</v>
      </c>
      <c r="I60" s="20">
        <f>F60*$E60</f>
        <v>0</v>
      </c>
      <c r="J60" s="20">
        <f>G60*$E60</f>
        <v>0</v>
      </c>
      <c r="K60" s="20">
        <f>I60+J60</f>
        <v>0</v>
      </c>
      <c r="L60" s="75"/>
      <c r="M60" s="13"/>
      <c r="N60" s="13"/>
      <c r="P60" s="51"/>
    </row>
    <row r="61" spans="1:16" s="14" customFormat="1" ht="18" customHeight="1">
      <c r="A61" s="73"/>
      <c r="B61" s="45" t="s">
        <v>71</v>
      </c>
      <c r="C61" s="42" t="s">
        <v>34</v>
      </c>
      <c r="D61" s="43" t="s">
        <v>27</v>
      </c>
      <c r="E61" s="54">
        <f>45.8+48.9</f>
        <v>94.69999999999999</v>
      </c>
      <c r="F61" s="131"/>
      <c r="G61" s="131"/>
      <c r="H61" s="20">
        <f aca="true" t="shared" si="12" ref="H61:H68">F61+G61</f>
        <v>0</v>
      </c>
      <c r="I61" s="20">
        <f aca="true" t="shared" si="13" ref="I61:I68">F61*$E61</f>
        <v>0</v>
      </c>
      <c r="J61" s="20">
        <f aca="true" t="shared" si="14" ref="J61:J68">G61*$E61</f>
        <v>0</v>
      </c>
      <c r="K61" s="20">
        <f aca="true" t="shared" si="15" ref="K61:K68">I61+J61</f>
        <v>0</v>
      </c>
      <c r="L61" s="75"/>
      <c r="M61" s="13"/>
      <c r="N61" s="13"/>
      <c r="P61" s="51"/>
    </row>
    <row r="62" spans="1:16" s="14" customFormat="1" ht="18" customHeight="1">
      <c r="A62" s="73"/>
      <c r="B62" s="45" t="s">
        <v>72</v>
      </c>
      <c r="C62" s="42" t="s">
        <v>8</v>
      </c>
      <c r="D62" s="43" t="s">
        <v>27</v>
      </c>
      <c r="E62" s="54">
        <f>26.5+42.5+47.8</f>
        <v>116.8</v>
      </c>
      <c r="F62" s="131"/>
      <c r="G62" s="131"/>
      <c r="H62" s="20">
        <f t="shared" si="12"/>
        <v>0</v>
      </c>
      <c r="I62" s="20">
        <f t="shared" si="13"/>
        <v>0</v>
      </c>
      <c r="J62" s="20">
        <f t="shared" si="14"/>
        <v>0</v>
      </c>
      <c r="K62" s="20">
        <f t="shared" si="15"/>
        <v>0</v>
      </c>
      <c r="L62" s="75"/>
      <c r="M62" s="13"/>
      <c r="N62" s="13"/>
      <c r="P62" s="51"/>
    </row>
    <row r="63" spans="1:16" s="14" customFormat="1" ht="18" customHeight="1">
      <c r="A63" s="73"/>
      <c r="B63" s="45" t="s">
        <v>73</v>
      </c>
      <c r="C63" s="42" t="s">
        <v>8</v>
      </c>
      <c r="D63" s="43" t="s">
        <v>27</v>
      </c>
      <c r="E63" s="54">
        <f>2.5+2.5</f>
        <v>5</v>
      </c>
      <c r="F63" s="131"/>
      <c r="G63" s="131"/>
      <c r="H63" s="20">
        <f t="shared" si="12"/>
        <v>0</v>
      </c>
      <c r="I63" s="20">
        <f t="shared" si="13"/>
        <v>0</v>
      </c>
      <c r="J63" s="20">
        <f t="shared" si="14"/>
        <v>0</v>
      </c>
      <c r="K63" s="20">
        <f t="shared" si="15"/>
        <v>0</v>
      </c>
      <c r="L63" s="75"/>
      <c r="M63" s="13"/>
      <c r="N63" s="13"/>
      <c r="P63" s="51"/>
    </row>
    <row r="64" spans="1:16" s="14" customFormat="1" ht="18" customHeight="1">
      <c r="A64" s="73"/>
      <c r="B64" s="45" t="s">
        <v>74</v>
      </c>
      <c r="C64" s="42" t="s">
        <v>79</v>
      </c>
      <c r="D64" s="43" t="s">
        <v>7</v>
      </c>
      <c r="E64" s="46">
        <f>24+36+36</f>
        <v>96</v>
      </c>
      <c r="F64" s="131"/>
      <c r="G64" s="131"/>
      <c r="H64" s="20">
        <f t="shared" si="12"/>
        <v>0</v>
      </c>
      <c r="I64" s="20">
        <f t="shared" si="13"/>
        <v>0</v>
      </c>
      <c r="J64" s="20">
        <f t="shared" si="14"/>
        <v>0</v>
      </c>
      <c r="K64" s="20">
        <f t="shared" si="15"/>
        <v>0</v>
      </c>
      <c r="L64" s="75"/>
      <c r="M64" s="13"/>
      <c r="N64" s="13"/>
      <c r="P64" s="51"/>
    </row>
    <row r="65" spans="1:16" s="14" customFormat="1" ht="18" customHeight="1">
      <c r="A65" s="73"/>
      <c r="B65" s="45" t="s">
        <v>75</v>
      </c>
      <c r="C65" s="42" t="s">
        <v>9</v>
      </c>
      <c r="D65" s="43" t="s">
        <v>27</v>
      </c>
      <c r="E65" s="54">
        <f>18.6+28+28</f>
        <v>74.6</v>
      </c>
      <c r="F65" s="131"/>
      <c r="G65" s="131"/>
      <c r="H65" s="20">
        <f t="shared" si="12"/>
        <v>0</v>
      </c>
      <c r="I65" s="20">
        <f t="shared" si="13"/>
        <v>0</v>
      </c>
      <c r="J65" s="20">
        <f t="shared" si="14"/>
        <v>0</v>
      </c>
      <c r="K65" s="20">
        <f t="shared" si="15"/>
        <v>0</v>
      </c>
      <c r="L65" s="75"/>
      <c r="M65" s="13"/>
      <c r="N65" s="13"/>
      <c r="P65" s="51"/>
    </row>
    <row r="66" spans="1:16" s="14" customFormat="1" ht="18" customHeight="1">
      <c r="A66" s="73"/>
      <c r="B66" s="45" t="s">
        <v>76</v>
      </c>
      <c r="C66" s="42" t="s">
        <v>80</v>
      </c>
      <c r="D66" s="43" t="s">
        <v>7</v>
      </c>
      <c r="E66" s="46">
        <f>6+9+9</f>
        <v>24</v>
      </c>
      <c r="F66" s="131"/>
      <c r="G66" s="131"/>
      <c r="H66" s="20">
        <f t="shared" si="12"/>
        <v>0</v>
      </c>
      <c r="I66" s="20">
        <f t="shared" si="13"/>
        <v>0</v>
      </c>
      <c r="J66" s="20">
        <f t="shared" si="14"/>
        <v>0</v>
      </c>
      <c r="K66" s="20">
        <f t="shared" si="15"/>
        <v>0</v>
      </c>
      <c r="L66" s="75"/>
      <c r="M66" s="13"/>
      <c r="N66" s="13"/>
      <c r="P66" s="51"/>
    </row>
    <row r="67" spans="1:16" s="14" customFormat="1" ht="18" customHeight="1">
      <c r="A67" s="73"/>
      <c r="B67" s="45" t="s">
        <v>77</v>
      </c>
      <c r="C67" s="42" t="s">
        <v>81</v>
      </c>
      <c r="D67" s="43" t="s">
        <v>7</v>
      </c>
      <c r="E67" s="46">
        <f>6+9+9</f>
        <v>24</v>
      </c>
      <c r="F67" s="131"/>
      <c r="G67" s="131"/>
      <c r="H67" s="20">
        <f t="shared" si="12"/>
        <v>0</v>
      </c>
      <c r="I67" s="20">
        <f t="shared" si="13"/>
        <v>0</v>
      </c>
      <c r="J67" s="20">
        <f t="shared" si="14"/>
        <v>0</v>
      </c>
      <c r="K67" s="20">
        <f t="shared" si="15"/>
        <v>0</v>
      </c>
      <c r="L67" s="75"/>
      <c r="M67" s="13"/>
      <c r="N67" s="13"/>
      <c r="P67" s="51"/>
    </row>
    <row r="68" spans="1:16" s="14" customFormat="1" ht="18" customHeight="1">
      <c r="A68" s="73"/>
      <c r="B68" s="45" t="s">
        <v>78</v>
      </c>
      <c r="C68" s="42" t="s">
        <v>82</v>
      </c>
      <c r="D68" s="43" t="s">
        <v>7</v>
      </c>
      <c r="E68" s="46">
        <f>12+18+18</f>
        <v>48</v>
      </c>
      <c r="F68" s="131"/>
      <c r="G68" s="131"/>
      <c r="H68" s="20">
        <f t="shared" si="12"/>
        <v>0</v>
      </c>
      <c r="I68" s="20">
        <f t="shared" si="13"/>
        <v>0</v>
      </c>
      <c r="J68" s="20">
        <f t="shared" si="14"/>
        <v>0</v>
      </c>
      <c r="K68" s="20">
        <f t="shared" si="15"/>
        <v>0</v>
      </c>
      <c r="L68" s="75"/>
      <c r="M68" s="13"/>
      <c r="N68" s="13"/>
      <c r="P68" s="51"/>
    </row>
    <row r="69" spans="1:16" s="14" customFormat="1" ht="18" customHeight="1">
      <c r="A69" s="71" t="s">
        <v>123</v>
      </c>
      <c r="B69" s="52"/>
      <c r="C69" s="48"/>
      <c r="D69" s="49"/>
      <c r="E69" s="53"/>
      <c r="F69" s="50"/>
      <c r="G69" s="50"/>
      <c r="H69" s="34"/>
      <c r="I69" s="34"/>
      <c r="J69" s="34"/>
      <c r="K69" s="34"/>
      <c r="L69" s="76"/>
      <c r="M69" s="13"/>
      <c r="N69" s="13"/>
      <c r="P69" s="51"/>
    </row>
    <row r="70" spans="1:16" s="14" customFormat="1" ht="18" customHeight="1">
      <c r="A70" s="73"/>
      <c r="B70" s="45" t="s">
        <v>83</v>
      </c>
      <c r="C70" s="42" t="s">
        <v>9</v>
      </c>
      <c r="D70" s="43" t="s">
        <v>27</v>
      </c>
      <c r="E70" s="54">
        <f>4631.3+1251+2545.9+847.2+4438.8</f>
        <v>13714.2</v>
      </c>
      <c r="F70" s="131"/>
      <c r="G70" s="131"/>
      <c r="H70" s="20">
        <f>F70+G70</f>
        <v>0</v>
      </c>
      <c r="I70" s="20">
        <f>F70*$E70</f>
        <v>0</v>
      </c>
      <c r="J70" s="20">
        <f>G70*$E70</f>
        <v>0</v>
      </c>
      <c r="K70" s="20">
        <f>I70+J70</f>
        <v>0</v>
      </c>
      <c r="L70" s="75"/>
      <c r="M70" s="13"/>
      <c r="N70" s="13"/>
      <c r="P70" s="51"/>
    </row>
    <row r="71" spans="1:16" s="14" customFormat="1" ht="18" customHeight="1">
      <c r="A71" s="73"/>
      <c r="B71" s="45" t="s">
        <v>84</v>
      </c>
      <c r="C71" s="42" t="s">
        <v>8</v>
      </c>
      <c r="D71" s="43" t="s">
        <v>27</v>
      </c>
      <c r="E71" s="54">
        <f>340.4+175.5+71+49.6+141.7+99.2+44.7+34.8+259.3+153.5</f>
        <v>1369.7</v>
      </c>
      <c r="F71" s="131"/>
      <c r="G71" s="131"/>
      <c r="H71" s="20">
        <f>F71+G71</f>
        <v>0</v>
      </c>
      <c r="I71" s="20">
        <f>F71*$E71</f>
        <v>0</v>
      </c>
      <c r="J71" s="20">
        <f>G71*$E71</f>
        <v>0</v>
      </c>
      <c r="K71" s="20">
        <f>I71+J71</f>
        <v>0</v>
      </c>
      <c r="L71" s="75"/>
      <c r="M71" s="13"/>
      <c r="N71" s="13"/>
      <c r="P71" s="51"/>
    </row>
    <row r="72" spans="1:16" s="14" customFormat="1" ht="18" customHeight="1">
      <c r="A72" s="73"/>
      <c r="B72" s="45" t="s">
        <v>85</v>
      </c>
      <c r="C72" s="42"/>
      <c r="D72" s="43" t="s">
        <v>7</v>
      </c>
      <c r="E72" s="46">
        <f>582+138+282+88+580</f>
        <v>1670</v>
      </c>
      <c r="F72" s="131"/>
      <c r="G72" s="131"/>
      <c r="H72" s="20">
        <f>F72+G72</f>
        <v>0</v>
      </c>
      <c r="I72" s="20">
        <f>F72*$E72</f>
        <v>0</v>
      </c>
      <c r="J72" s="20">
        <f>G72*$E72</f>
        <v>0</v>
      </c>
      <c r="K72" s="20">
        <f>I72+J72</f>
        <v>0</v>
      </c>
      <c r="L72" s="75"/>
      <c r="M72" s="13"/>
      <c r="N72" s="13"/>
      <c r="P72" s="51"/>
    </row>
    <row r="73" spans="1:16" s="14" customFormat="1" ht="18" customHeight="1">
      <c r="A73" s="71" t="s">
        <v>124</v>
      </c>
      <c r="B73" s="52"/>
      <c r="C73" s="48"/>
      <c r="D73" s="49"/>
      <c r="E73" s="53"/>
      <c r="F73" s="50"/>
      <c r="G73" s="50"/>
      <c r="H73" s="34"/>
      <c r="I73" s="34"/>
      <c r="J73" s="34"/>
      <c r="K73" s="34"/>
      <c r="L73" s="76"/>
      <c r="M73" s="13"/>
      <c r="N73" s="13"/>
      <c r="P73" s="51"/>
    </row>
    <row r="74" spans="1:16" s="14" customFormat="1" ht="18" customHeight="1">
      <c r="A74" s="73"/>
      <c r="B74" s="45" t="s">
        <v>86</v>
      </c>
      <c r="C74" s="42" t="s">
        <v>10</v>
      </c>
      <c r="D74" s="43" t="s">
        <v>27</v>
      </c>
      <c r="E74" s="54">
        <f>267.9+380.7+253.8</f>
        <v>902.3999999999999</v>
      </c>
      <c r="F74" s="131"/>
      <c r="G74" s="131"/>
      <c r="H74" s="20">
        <f>F74+G74</f>
        <v>0</v>
      </c>
      <c r="I74" s="20">
        <f>F74*$E74</f>
        <v>0</v>
      </c>
      <c r="J74" s="20">
        <f>G74*$E74</f>
        <v>0</v>
      </c>
      <c r="K74" s="20">
        <f>I74+J74</f>
        <v>0</v>
      </c>
      <c r="L74" s="75"/>
      <c r="M74" s="13"/>
      <c r="N74" s="13"/>
      <c r="P74" s="51"/>
    </row>
    <row r="75" spans="1:16" s="14" customFormat="1" ht="18" customHeight="1">
      <c r="A75" s="73"/>
      <c r="B75" s="45" t="s">
        <v>30</v>
      </c>
      <c r="C75" s="42" t="s">
        <v>9</v>
      </c>
      <c r="D75" s="43" t="s">
        <v>27</v>
      </c>
      <c r="E75" s="54">
        <f>198.72+264.96</f>
        <v>463.67999999999995</v>
      </c>
      <c r="F75" s="131"/>
      <c r="G75" s="131"/>
      <c r="H75" s="20">
        <f aca="true" t="shared" si="16" ref="H75:H80">F75+G75</f>
        <v>0</v>
      </c>
      <c r="I75" s="20">
        <f aca="true" t="shared" si="17" ref="I75:I80">F75*$E75</f>
        <v>0</v>
      </c>
      <c r="J75" s="20">
        <f aca="true" t="shared" si="18" ref="J75:J80">G75*$E75</f>
        <v>0</v>
      </c>
      <c r="K75" s="20">
        <f aca="true" t="shared" si="19" ref="K75:K80">I75+J75</f>
        <v>0</v>
      </c>
      <c r="L75" s="75"/>
      <c r="M75" s="13"/>
      <c r="N75" s="13"/>
      <c r="P75" s="51"/>
    </row>
    <row r="76" spans="1:16" s="14" customFormat="1" ht="18" customHeight="1">
      <c r="A76" s="73"/>
      <c r="B76" s="45" t="s">
        <v>87</v>
      </c>
      <c r="C76" s="42" t="s">
        <v>9</v>
      </c>
      <c r="D76" s="43" t="s">
        <v>27</v>
      </c>
      <c r="E76" s="54">
        <f>1545.7+1284.12+1712.16</f>
        <v>4541.98</v>
      </c>
      <c r="F76" s="131"/>
      <c r="G76" s="131"/>
      <c r="H76" s="20">
        <f t="shared" si="16"/>
        <v>0</v>
      </c>
      <c r="I76" s="20">
        <f t="shared" si="17"/>
        <v>0</v>
      </c>
      <c r="J76" s="20">
        <f t="shared" si="18"/>
        <v>0</v>
      </c>
      <c r="K76" s="20">
        <f t="shared" si="19"/>
        <v>0</v>
      </c>
      <c r="L76" s="75"/>
      <c r="M76" s="13"/>
      <c r="N76" s="13"/>
      <c r="P76" s="51"/>
    </row>
    <row r="77" spans="1:16" s="14" customFormat="1" ht="18" customHeight="1">
      <c r="A77" s="73"/>
      <c r="B77" s="45" t="s">
        <v>73</v>
      </c>
      <c r="C77" s="42" t="s">
        <v>8</v>
      </c>
      <c r="D77" s="43" t="s">
        <v>27</v>
      </c>
      <c r="E77" s="54">
        <f>165.1+137.16+182.88</f>
        <v>485.14</v>
      </c>
      <c r="F77" s="131"/>
      <c r="G77" s="131"/>
      <c r="H77" s="20">
        <f t="shared" si="16"/>
        <v>0</v>
      </c>
      <c r="I77" s="20">
        <f t="shared" si="17"/>
        <v>0</v>
      </c>
      <c r="J77" s="20">
        <f t="shared" si="18"/>
        <v>0</v>
      </c>
      <c r="K77" s="20">
        <f t="shared" si="19"/>
        <v>0</v>
      </c>
      <c r="L77" s="75"/>
      <c r="M77" s="13"/>
      <c r="N77" s="13"/>
      <c r="P77" s="51"/>
    </row>
    <row r="78" spans="1:16" s="14" customFormat="1" ht="18" customHeight="1">
      <c r="A78" s="73"/>
      <c r="B78" s="45" t="s">
        <v>88</v>
      </c>
      <c r="C78" s="42" t="s">
        <v>80</v>
      </c>
      <c r="D78" s="43" t="s">
        <v>7</v>
      </c>
      <c r="E78" s="46">
        <f>325+270+360</f>
        <v>955</v>
      </c>
      <c r="F78" s="131"/>
      <c r="G78" s="131"/>
      <c r="H78" s="20">
        <f t="shared" si="16"/>
        <v>0</v>
      </c>
      <c r="I78" s="20">
        <f t="shared" si="17"/>
        <v>0</v>
      </c>
      <c r="J78" s="20">
        <f t="shared" si="18"/>
        <v>0</v>
      </c>
      <c r="K78" s="20">
        <f t="shared" si="19"/>
        <v>0</v>
      </c>
      <c r="L78" s="75"/>
      <c r="M78" s="13"/>
      <c r="N78" s="13"/>
      <c r="P78" s="51"/>
    </row>
    <row r="79" spans="1:16" s="14" customFormat="1" ht="18" customHeight="1">
      <c r="A79" s="73"/>
      <c r="B79" s="45" t="s">
        <v>89</v>
      </c>
      <c r="C79" s="42" t="s">
        <v>81</v>
      </c>
      <c r="D79" s="43" t="s">
        <v>7</v>
      </c>
      <c r="E79" s="46">
        <f>325+270+360</f>
        <v>955</v>
      </c>
      <c r="F79" s="131"/>
      <c r="G79" s="131"/>
      <c r="H79" s="20">
        <f t="shared" si="16"/>
        <v>0</v>
      </c>
      <c r="I79" s="20">
        <f t="shared" si="17"/>
        <v>0</v>
      </c>
      <c r="J79" s="20">
        <f t="shared" si="18"/>
        <v>0</v>
      </c>
      <c r="K79" s="20">
        <f t="shared" si="19"/>
        <v>0</v>
      </c>
      <c r="L79" s="75"/>
      <c r="M79" s="13"/>
      <c r="N79" s="13"/>
      <c r="P79" s="51"/>
    </row>
    <row r="80" spans="1:16" s="14" customFormat="1" ht="18" customHeight="1">
      <c r="A80" s="73"/>
      <c r="B80" s="45" t="s">
        <v>90</v>
      </c>
      <c r="C80" s="42" t="s">
        <v>82</v>
      </c>
      <c r="D80" s="43" t="s">
        <v>7</v>
      </c>
      <c r="E80" s="46">
        <f>650+540+720</f>
        <v>1910</v>
      </c>
      <c r="F80" s="131"/>
      <c r="G80" s="131"/>
      <c r="H80" s="20">
        <f t="shared" si="16"/>
        <v>0</v>
      </c>
      <c r="I80" s="20">
        <f t="shared" si="17"/>
        <v>0</v>
      </c>
      <c r="J80" s="20">
        <f t="shared" si="18"/>
        <v>0</v>
      </c>
      <c r="K80" s="20">
        <f t="shared" si="19"/>
        <v>0</v>
      </c>
      <c r="L80" s="75"/>
      <c r="M80" s="13"/>
      <c r="N80" s="13"/>
      <c r="P80" s="51"/>
    </row>
    <row r="81" spans="1:16" s="14" customFormat="1" ht="18" customHeight="1">
      <c r="A81" s="71" t="s">
        <v>125</v>
      </c>
      <c r="B81" s="52"/>
      <c r="C81" s="48"/>
      <c r="D81" s="49"/>
      <c r="E81" s="53"/>
      <c r="F81" s="50"/>
      <c r="G81" s="50"/>
      <c r="H81" s="34"/>
      <c r="I81" s="34"/>
      <c r="J81" s="34"/>
      <c r="K81" s="34"/>
      <c r="L81" s="76"/>
      <c r="M81" s="13"/>
      <c r="N81" s="13"/>
      <c r="P81" s="51"/>
    </row>
    <row r="82" spans="1:16" s="14" customFormat="1" ht="18" customHeight="1">
      <c r="A82" s="73"/>
      <c r="B82" s="45" t="s">
        <v>119</v>
      </c>
      <c r="C82" s="42" t="s">
        <v>99</v>
      </c>
      <c r="D82" s="43" t="s">
        <v>27</v>
      </c>
      <c r="E82" s="54">
        <f>245.49+241.71+244.81+306.08+257.47+186.39+79.2+483.17+338.56</f>
        <v>2382.88</v>
      </c>
      <c r="F82" s="131"/>
      <c r="G82" s="131"/>
      <c r="H82" s="20">
        <f>F82+G82</f>
        <v>0</v>
      </c>
      <c r="I82" s="20">
        <f>F82*$E82</f>
        <v>0</v>
      </c>
      <c r="J82" s="20">
        <f>G82*$E82</f>
        <v>0</v>
      </c>
      <c r="K82" s="20">
        <f>I82+J82</f>
        <v>0</v>
      </c>
      <c r="L82" s="75"/>
      <c r="M82" s="13"/>
      <c r="N82" s="13"/>
      <c r="P82" s="51"/>
    </row>
    <row r="83" spans="1:16" s="14" customFormat="1" ht="18" customHeight="1">
      <c r="A83" s="73"/>
      <c r="B83" s="45" t="s">
        <v>93</v>
      </c>
      <c r="C83" s="42"/>
      <c r="D83" s="43" t="s">
        <v>7</v>
      </c>
      <c r="E83" s="46">
        <f>208+396+408+364+324+212+256+36+656+460</f>
        <v>3320</v>
      </c>
      <c r="F83" s="131"/>
      <c r="G83" s="131"/>
      <c r="H83" s="20">
        <f aca="true" t="shared" si="20" ref="H83:H90">F83+G83</f>
        <v>0</v>
      </c>
      <c r="I83" s="20">
        <f aca="true" t="shared" si="21" ref="I83:I90">F83*$E83</f>
        <v>0</v>
      </c>
      <c r="J83" s="20">
        <f aca="true" t="shared" si="22" ref="J83:J90">G83*$E83</f>
        <v>0</v>
      </c>
      <c r="K83" s="20">
        <f aca="true" t="shared" si="23" ref="K83:K90">I83+J83</f>
        <v>0</v>
      </c>
      <c r="L83" s="75"/>
      <c r="M83" s="13"/>
      <c r="N83" s="13"/>
      <c r="P83" s="51"/>
    </row>
    <row r="84" spans="1:16" s="14" customFormat="1" ht="18" customHeight="1">
      <c r="A84" s="73"/>
      <c r="B84" s="45" t="s">
        <v>94</v>
      </c>
      <c r="C84" s="42" t="s">
        <v>95</v>
      </c>
      <c r="D84" s="43" t="s">
        <v>27</v>
      </c>
      <c r="E84" s="54">
        <f>3.28+6.24+6.43+5.73+5.1+3.34+4.03+0.57+10.33+7.24</f>
        <v>52.29</v>
      </c>
      <c r="F84" s="131"/>
      <c r="G84" s="131"/>
      <c r="H84" s="20">
        <f t="shared" si="20"/>
        <v>0</v>
      </c>
      <c r="I84" s="20">
        <f t="shared" si="21"/>
        <v>0</v>
      </c>
      <c r="J84" s="20">
        <f t="shared" si="22"/>
        <v>0</v>
      </c>
      <c r="K84" s="20">
        <f t="shared" si="23"/>
        <v>0</v>
      </c>
      <c r="L84" s="75"/>
      <c r="M84" s="13"/>
      <c r="N84" s="13"/>
      <c r="P84" s="51"/>
    </row>
    <row r="85" spans="1:16" s="14" customFormat="1" ht="18" customHeight="1">
      <c r="A85" s="73"/>
      <c r="B85" s="45" t="s">
        <v>96</v>
      </c>
      <c r="C85" s="42" t="s">
        <v>95</v>
      </c>
      <c r="D85" s="43" t="s">
        <v>27</v>
      </c>
      <c r="E85" s="54">
        <f>9.87+139.59+143.82+128.31+114.21+124.08+91.65+25.38+231.24+162.15</f>
        <v>1170.3</v>
      </c>
      <c r="F85" s="131"/>
      <c r="G85" s="131"/>
      <c r="H85" s="20">
        <f t="shared" si="20"/>
        <v>0</v>
      </c>
      <c r="I85" s="20">
        <f t="shared" si="21"/>
        <v>0</v>
      </c>
      <c r="J85" s="20">
        <f t="shared" si="22"/>
        <v>0</v>
      </c>
      <c r="K85" s="20">
        <f t="shared" si="23"/>
        <v>0</v>
      </c>
      <c r="L85" s="75"/>
      <c r="M85" s="13"/>
      <c r="N85" s="13"/>
      <c r="P85" s="51"/>
    </row>
    <row r="86" spans="1:16" s="14" customFormat="1" ht="18" customHeight="1">
      <c r="A86" s="73"/>
      <c r="B86" s="45" t="s">
        <v>97</v>
      </c>
      <c r="C86" s="42" t="s">
        <v>99</v>
      </c>
      <c r="D86" s="43" t="s">
        <v>27</v>
      </c>
      <c r="E86" s="54">
        <f>15.37+512.4+522.65+466.28+415.04+466.284+333.06+92.23+840.336+589.26</f>
        <v>4252.91</v>
      </c>
      <c r="F86" s="131"/>
      <c r="G86" s="131"/>
      <c r="H86" s="20">
        <f t="shared" si="20"/>
        <v>0</v>
      </c>
      <c r="I86" s="20">
        <f t="shared" si="21"/>
        <v>0</v>
      </c>
      <c r="J86" s="20">
        <f t="shared" si="22"/>
        <v>0</v>
      </c>
      <c r="K86" s="20">
        <f t="shared" si="23"/>
        <v>0</v>
      </c>
      <c r="L86" s="75"/>
      <c r="M86" s="13"/>
      <c r="N86" s="13"/>
      <c r="P86" s="51"/>
    </row>
    <row r="87" spans="1:16" s="14" customFormat="1" ht="18" customHeight="1">
      <c r="A87" s="73"/>
      <c r="B87" s="45" t="s">
        <v>98</v>
      </c>
      <c r="C87" s="42" t="s">
        <v>99</v>
      </c>
      <c r="D87" s="43" t="s">
        <v>27</v>
      </c>
      <c r="E87" s="54">
        <f>2.14+4.07+4.2+3.75+3.33+2.2+2.63+0.37+6.75+4.73</f>
        <v>34.17</v>
      </c>
      <c r="F87" s="131"/>
      <c r="G87" s="131"/>
      <c r="H87" s="20">
        <f t="shared" si="20"/>
        <v>0</v>
      </c>
      <c r="I87" s="20">
        <f t="shared" si="21"/>
        <v>0</v>
      </c>
      <c r="J87" s="20">
        <f t="shared" si="22"/>
        <v>0</v>
      </c>
      <c r="K87" s="20">
        <f t="shared" si="23"/>
        <v>0</v>
      </c>
      <c r="L87" s="75"/>
      <c r="M87" s="13"/>
      <c r="N87" s="13"/>
      <c r="P87" s="51"/>
    </row>
    <row r="88" spans="1:16" s="14" customFormat="1" ht="18" customHeight="1">
      <c r="A88" s="73"/>
      <c r="B88" s="45" t="s">
        <v>100</v>
      </c>
      <c r="C88" s="42" t="s">
        <v>95</v>
      </c>
      <c r="D88" s="43" t="s">
        <v>27</v>
      </c>
      <c r="E88" s="54">
        <f>5.6+4.48+5.6+5.04+11.2</f>
        <v>31.919999999999998</v>
      </c>
      <c r="F88" s="131"/>
      <c r="G88" s="131"/>
      <c r="H88" s="20">
        <f t="shared" si="20"/>
        <v>0</v>
      </c>
      <c r="I88" s="20">
        <f t="shared" si="21"/>
        <v>0</v>
      </c>
      <c r="J88" s="20">
        <f t="shared" si="22"/>
        <v>0</v>
      </c>
      <c r="K88" s="20">
        <f t="shared" si="23"/>
        <v>0</v>
      </c>
      <c r="L88" s="75"/>
      <c r="M88" s="13"/>
      <c r="N88" s="13"/>
      <c r="P88" s="51"/>
    </row>
    <row r="89" spans="1:16" s="14" customFormat="1" ht="18" customHeight="1">
      <c r="A89" s="73"/>
      <c r="B89" s="45" t="s">
        <v>101</v>
      </c>
      <c r="C89" s="42"/>
      <c r="D89" s="43" t="s">
        <v>7</v>
      </c>
      <c r="E89" s="46">
        <f>40+32+40+36+80</f>
        <v>228</v>
      </c>
      <c r="F89" s="131"/>
      <c r="G89" s="131"/>
      <c r="H89" s="20">
        <f t="shared" si="20"/>
        <v>0</v>
      </c>
      <c r="I89" s="20">
        <f t="shared" si="21"/>
        <v>0</v>
      </c>
      <c r="J89" s="20">
        <f t="shared" si="22"/>
        <v>0</v>
      </c>
      <c r="K89" s="20">
        <f t="shared" si="23"/>
        <v>0</v>
      </c>
      <c r="L89" s="75"/>
      <c r="M89" s="13"/>
      <c r="N89" s="13"/>
      <c r="P89" s="51"/>
    </row>
    <row r="90" spans="1:16" s="14" customFormat="1" ht="18" customHeight="1">
      <c r="A90" s="73"/>
      <c r="B90" s="45" t="s">
        <v>102</v>
      </c>
      <c r="C90" s="42" t="s">
        <v>103</v>
      </c>
      <c r="D90" s="43" t="s">
        <v>27</v>
      </c>
      <c r="E90" s="54">
        <f>67.48+329.92+613.62+651.23+1281.91</f>
        <v>2944.16</v>
      </c>
      <c r="F90" s="131"/>
      <c r="G90" s="131"/>
      <c r="H90" s="20">
        <f t="shared" si="20"/>
        <v>0</v>
      </c>
      <c r="I90" s="20">
        <f t="shared" si="21"/>
        <v>0</v>
      </c>
      <c r="J90" s="20">
        <f t="shared" si="22"/>
        <v>0</v>
      </c>
      <c r="K90" s="20">
        <f t="shared" si="23"/>
        <v>0</v>
      </c>
      <c r="L90" s="75"/>
      <c r="M90" s="13"/>
      <c r="N90" s="13"/>
      <c r="P90" s="51"/>
    </row>
    <row r="91" spans="1:14" s="14" customFormat="1" ht="18" customHeight="1">
      <c r="A91" s="71" t="s">
        <v>126</v>
      </c>
      <c r="B91" s="52"/>
      <c r="C91" s="48"/>
      <c r="D91" s="49"/>
      <c r="E91" s="53"/>
      <c r="F91" s="50"/>
      <c r="G91" s="50"/>
      <c r="H91" s="34"/>
      <c r="I91" s="34"/>
      <c r="J91" s="34"/>
      <c r="K91" s="34"/>
      <c r="L91" s="76"/>
      <c r="M91" s="13"/>
      <c r="N91" s="13"/>
    </row>
    <row r="92" spans="1:14" s="14" customFormat="1" ht="15">
      <c r="A92" s="73"/>
      <c r="B92" s="41" t="s">
        <v>104</v>
      </c>
      <c r="C92" s="42"/>
      <c r="D92" s="43" t="s">
        <v>11</v>
      </c>
      <c r="E92" s="54">
        <f>1.8+7.8+2.7+3.5+7.2+1.8+2+2.5+2.7+5.4+2.9+7.2+3.8+3.8+2.3+2.7+3.1+3.2+7.2</f>
        <v>73.6</v>
      </c>
      <c r="F92" s="131"/>
      <c r="G92" s="131"/>
      <c r="H92" s="20">
        <f>F92+G92</f>
        <v>0</v>
      </c>
      <c r="I92" s="20">
        <f>F92*$E92</f>
        <v>0</v>
      </c>
      <c r="J92" s="20">
        <f>G92*$E92</f>
        <v>0</v>
      </c>
      <c r="K92" s="20">
        <f>I92+J92</f>
        <v>0</v>
      </c>
      <c r="L92" s="75"/>
      <c r="M92" s="13"/>
      <c r="N92" s="13"/>
    </row>
    <row r="93" spans="1:14" s="14" customFormat="1" ht="18" customHeight="1">
      <c r="A93" s="71" t="s">
        <v>127</v>
      </c>
      <c r="B93" s="52"/>
      <c r="C93" s="48"/>
      <c r="D93" s="49"/>
      <c r="E93" s="53"/>
      <c r="F93" s="50"/>
      <c r="G93" s="50"/>
      <c r="H93" s="34"/>
      <c r="I93" s="34"/>
      <c r="J93" s="34"/>
      <c r="K93" s="34"/>
      <c r="L93" s="76"/>
      <c r="M93" s="13"/>
      <c r="N93" s="13"/>
    </row>
    <row r="94" spans="1:14" s="14" customFormat="1" ht="18" customHeight="1">
      <c r="A94" s="73"/>
      <c r="B94" s="45" t="s">
        <v>105</v>
      </c>
      <c r="C94" s="42"/>
      <c r="D94" s="43" t="s">
        <v>7</v>
      </c>
      <c r="E94" s="46">
        <v>176</v>
      </c>
      <c r="F94" s="131"/>
      <c r="G94" s="131"/>
      <c r="H94" s="20">
        <f>F94+G94</f>
        <v>0</v>
      </c>
      <c r="I94" s="20">
        <f>F94*$E94</f>
        <v>0</v>
      </c>
      <c r="J94" s="20">
        <f>G94*$E94</f>
        <v>0</v>
      </c>
      <c r="K94" s="20">
        <f>I94+J94</f>
        <v>0</v>
      </c>
      <c r="L94" s="75"/>
      <c r="M94" s="13"/>
      <c r="N94" s="13"/>
    </row>
    <row r="95" spans="1:14" s="14" customFormat="1" ht="18" customHeight="1">
      <c r="A95" s="73"/>
      <c r="B95" s="45" t="s">
        <v>106</v>
      </c>
      <c r="C95" s="42"/>
      <c r="D95" s="43" t="s">
        <v>11</v>
      </c>
      <c r="E95" s="54">
        <v>60.8</v>
      </c>
      <c r="F95" s="131"/>
      <c r="G95" s="131"/>
      <c r="H95" s="20">
        <f>F95+G95</f>
        <v>0</v>
      </c>
      <c r="I95" s="20">
        <f>F95*$E95</f>
        <v>0</v>
      </c>
      <c r="J95" s="20">
        <f>G95*$E95</f>
        <v>0</v>
      </c>
      <c r="K95" s="20">
        <f>I95+J95</f>
        <v>0</v>
      </c>
      <c r="L95" s="75"/>
      <c r="M95" s="13"/>
      <c r="N95" s="13"/>
    </row>
    <row r="96" spans="1:14" s="14" customFormat="1" ht="18" customHeight="1">
      <c r="A96" s="73"/>
      <c r="B96" s="45" t="s">
        <v>107</v>
      </c>
      <c r="C96" s="42"/>
      <c r="D96" s="43" t="s">
        <v>7</v>
      </c>
      <c r="E96" s="46">
        <v>88</v>
      </c>
      <c r="F96" s="131"/>
      <c r="G96" s="131"/>
      <c r="H96" s="20">
        <f>F96+G96</f>
        <v>0</v>
      </c>
      <c r="I96" s="20">
        <f>F96*$E96</f>
        <v>0</v>
      </c>
      <c r="J96" s="20">
        <f>G96*$E96</f>
        <v>0</v>
      </c>
      <c r="K96" s="20">
        <f>I96+J96</f>
        <v>0</v>
      </c>
      <c r="L96" s="75"/>
      <c r="M96" s="13"/>
      <c r="N96" s="13"/>
    </row>
    <row r="97" spans="1:14" s="14" customFormat="1" ht="18" customHeight="1">
      <c r="A97" s="73"/>
      <c r="B97" s="45" t="s">
        <v>108</v>
      </c>
      <c r="C97" s="42"/>
      <c r="D97" s="43" t="s">
        <v>27</v>
      </c>
      <c r="E97" s="54">
        <v>123.2</v>
      </c>
      <c r="F97" s="131"/>
      <c r="G97" s="131"/>
      <c r="H97" s="20">
        <f>F97+G97</f>
        <v>0</v>
      </c>
      <c r="I97" s="20">
        <f>F97*$E97</f>
        <v>0</v>
      </c>
      <c r="J97" s="20">
        <f>G97*$E97</f>
        <v>0</v>
      </c>
      <c r="K97" s="20">
        <f>I97+J97</f>
        <v>0</v>
      </c>
      <c r="L97" s="75"/>
      <c r="M97" s="13"/>
      <c r="N97" s="13"/>
    </row>
    <row r="98" spans="1:14" s="14" customFormat="1" ht="18" customHeight="1">
      <c r="A98" s="73"/>
      <c r="B98" s="45" t="s">
        <v>109</v>
      </c>
      <c r="C98" s="42"/>
      <c r="D98" s="43" t="s">
        <v>27</v>
      </c>
      <c r="E98" s="54">
        <v>168.7</v>
      </c>
      <c r="F98" s="131"/>
      <c r="G98" s="131"/>
      <c r="H98" s="20">
        <f>F98+G98</f>
        <v>0</v>
      </c>
      <c r="I98" s="20">
        <f>F98*$E98</f>
        <v>0</v>
      </c>
      <c r="J98" s="20">
        <f>G98*$E98</f>
        <v>0</v>
      </c>
      <c r="K98" s="20">
        <f>I98+J98</f>
        <v>0</v>
      </c>
      <c r="L98" s="75"/>
      <c r="M98" s="13"/>
      <c r="N98" s="13"/>
    </row>
    <row r="99" spans="1:14" s="14" customFormat="1" ht="18" customHeight="1">
      <c r="A99" s="73"/>
      <c r="B99" s="45" t="s">
        <v>110</v>
      </c>
      <c r="C99" s="42"/>
      <c r="D99" s="43" t="s">
        <v>27</v>
      </c>
      <c r="E99" s="54">
        <v>404.3</v>
      </c>
      <c r="F99" s="131"/>
      <c r="G99" s="131"/>
      <c r="H99" s="20">
        <f>F99+G99</f>
        <v>0</v>
      </c>
      <c r="I99" s="20">
        <f>F99*$E99</f>
        <v>0</v>
      </c>
      <c r="J99" s="20">
        <f>G99*$E99</f>
        <v>0</v>
      </c>
      <c r="K99" s="20">
        <f>I99+J99</f>
        <v>0</v>
      </c>
      <c r="L99" s="75"/>
      <c r="M99" s="13"/>
      <c r="N99" s="13"/>
    </row>
    <row r="100" spans="1:14" s="14" customFormat="1" ht="18" customHeight="1">
      <c r="A100" s="71" t="s">
        <v>128</v>
      </c>
      <c r="B100" s="52"/>
      <c r="C100" s="48"/>
      <c r="D100" s="49"/>
      <c r="E100" s="53"/>
      <c r="F100" s="50"/>
      <c r="G100" s="50"/>
      <c r="H100" s="34"/>
      <c r="I100" s="34"/>
      <c r="J100" s="34"/>
      <c r="K100" s="34"/>
      <c r="L100" s="76"/>
      <c r="M100" s="13"/>
      <c r="N100" s="13"/>
    </row>
    <row r="101" spans="1:14" s="14" customFormat="1" ht="30.75">
      <c r="A101" s="73"/>
      <c r="B101" s="41" t="s">
        <v>111</v>
      </c>
      <c r="C101" s="42"/>
      <c r="D101" s="43" t="s">
        <v>7</v>
      </c>
      <c r="E101" s="44">
        <v>21</v>
      </c>
      <c r="F101" s="131"/>
      <c r="G101" s="131"/>
      <c r="H101" s="20">
        <f>F101+G101</f>
        <v>0</v>
      </c>
      <c r="I101" s="20">
        <f>F101*$E101</f>
        <v>0</v>
      </c>
      <c r="J101" s="20">
        <f>G101*$E101</f>
        <v>0</v>
      </c>
      <c r="K101" s="20">
        <f>I101+J101</f>
        <v>0</v>
      </c>
      <c r="L101" s="75"/>
      <c r="M101" s="13"/>
      <c r="N101" s="13"/>
    </row>
    <row r="102" spans="1:14" s="14" customFormat="1" ht="30.75">
      <c r="A102" s="73"/>
      <c r="B102" s="41" t="s">
        <v>112</v>
      </c>
      <c r="C102" s="42"/>
      <c r="D102" s="43" t="s">
        <v>7</v>
      </c>
      <c r="E102" s="44">
        <v>11</v>
      </c>
      <c r="F102" s="131"/>
      <c r="G102" s="131"/>
      <c r="H102" s="20">
        <f>F102+G102</f>
        <v>0</v>
      </c>
      <c r="I102" s="20">
        <f>F102*$E102</f>
        <v>0</v>
      </c>
      <c r="J102" s="20">
        <f>G102*$E102</f>
        <v>0</v>
      </c>
      <c r="K102" s="20">
        <f>I102+J102</f>
        <v>0</v>
      </c>
      <c r="L102" s="75"/>
      <c r="M102" s="13"/>
      <c r="N102" s="13"/>
    </row>
    <row r="103" spans="1:14" s="14" customFormat="1" ht="18" customHeight="1">
      <c r="A103" s="73"/>
      <c r="B103" s="45" t="s">
        <v>113</v>
      </c>
      <c r="C103" s="42"/>
      <c r="D103" s="43" t="s">
        <v>27</v>
      </c>
      <c r="E103" s="44">
        <v>406.9</v>
      </c>
      <c r="F103" s="131"/>
      <c r="G103" s="131"/>
      <c r="H103" s="20">
        <f>F103+G103</f>
        <v>0</v>
      </c>
      <c r="I103" s="20">
        <f>F103*$E103</f>
        <v>0</v>
      </c>
      <c r="J103" s="20">
        <f>G103*$E103</f>
        <v>0</v>
      </c>
      <c r="K103" s="20">
        <f>I103+J103</f>
        <v>0</v>
      </c>
      <c r="L103" s="75"/>
      <c r="M103" s="13"/>
      <c r="N103" s="13"/>
    </row>
    <row r="104" spans="1:14" s="14" customFormat="1" ht="18" customHeight="1">
      <c r="A104" s="73"/>
      <c r="B104" s="45" t="s">
        <v>114</v>
      </c>
      <c r="C104" s="42"/>
      <c r="D104" s="43" t="s">
        <v>27</v>
      </c>
      <c r="E104" s="44">
        <v>774.4</v>
      </c>
      <c r="F104" s="131"/>
      <c r="G104" s="131"/>
      <c r="H104" s="20">
        <f>F104+G104</f>
        <v>0</v>
      </c>
      <c r="I104" s="20">
        <f>F104*$E104</f>
        <v>0</v>
      </c>
      <c r="J104" s="20">
        <f>G104*$E104</f>
        <v>0</v>
      </c>
      <c r="K104" s="20">
        <f>I104+J104</f>
        <v>0</v>
      </c>
      <c r="L104" s="75"/>
      <c r="M104" s="13"/>
      <c r="N104" s="13"/>
    </row>
    <row r="105" spans="1:14" s="14" customFormat="1" ht="18" customHeight="1">
      <c r="A105" s="71" t="s">
        <v>129</v>
      </c>
      <c r="B105" s="52"/>
      <c r="C105" s="48"/>
      <c r="D105" s="49"/>
      <c r="E105" s="53"/>
      <c r="F105" s="50"/>
      <c r="G105" s="50"/>
      <c r="H105" s="34"/>
      <c r="I105" s="34"/>
      <c r="J105" s="34"/>
      <c r="K105" s="34"/>
      <c r="L105" s="76"/>
      <c r="M105" s="13"/>
      <c r="N105" s="13"/>
    </row>
    <row r="106" spans="1:14" s="14" customFormat="1" ht="15">
      <c r="A106" s="73"/>
      <c r="B106" s="41" t="s">
        <v>118</v>
      </c>
      <c r="C106" s="42"/>
      <c r="D106" s="43" t="s">
        <v>11</v>
      </c>
      <c r="E106" s="44">
        <v>9.5</v>
      </c>
      <c r="F106" s="131"/>
      <c r="G106" s="131"/>
      <c r="H106" s="20">
        <f>F106+G106</f>
        <v>0</v>
      </c>
      <c r="I106" s="20">
        <f>F106*$E106</f>
        <v>0</v>
      </c>
      <c r="J106" s="20">
        <f>G106*$E106</f>
        <v>0</v>
      </c>
      <c r="K106" s="20">
        <f>I106+J106</f>
        <v>0</v>
      </c>
      <c r="L106" s="75"/>
      <c r="M106" s="13"/>
      <c r="N106" s="13"/>
    </row>
    <row r="107" spans="1:14" s="12" customFormat="1" ht="19.5" customHeight="1" hidden="1">
      <c r="A107" s="71" t="s">
        <v>14</v>
      </c>
      <c r="B107" s="23"/>
      <c r="C107" s="23"/>
      <c r="D107" s="23"/>
      <c r="E107" s="23"/>
      <c r="F107" s="24"/>
      <c r="G107" s="24"/>
      <c r="H107" s="24"/>
      <c r="I107" s="24"/>
      <c r="J107" s="24"/>
      <c r="K107" s="24"/>
      <c r="L107" s="72"/>
      <c r="M107" s="11"/>
      <c r="N107" s="11"/>
    </row>
    <row r="108" spans="1:14" s="14" customFormat="1" ht="33" customHeight="1" hidden="1">
      <c r="A108" s="73"/>
      <c r="B108" s="35" t="s">
        <v>12</v>
      </c>
      <c r="C108" s="39" t="s">
        <v>19</v>
      </c>
      <c r="D108" s="22"/>
      <c r="E108" s="40"/>
      <c r="F108" s="21"/>
      <c r="G108" s="21"/>
      <c r="H108" s="20"/>
      <c r="I108" s="20"/>
      <c r="J108" s="20"/>
      <c r="K108" s="20"/>
      <c r="L108" s="75"/>
      <c r="M108" s="13"/>
      <c r="N108" s="13"/>
    </row>
    <row r="109" spans="1:14" s="12" customFormat="1" ht="19.5" customHeight="1" hidden="1">
      <c r="A109" s="71" t="s">
        <v>15</v>
      </c>
      <c r="B109" s="23"/>
      <c r="C109" s="23"/>
      <c r="D109" s="23"/>
      <c r="E109" s="23"/>
      <c r="F109" s="24"/>
      <c r="G109" s="24"/>
      <c r="H109" s="24"/>
      <c r="I109" s="24"/>
      <c r="J109" s="24"/>
      <c r="K109" s="24"/>
      <c r="L109" s="72"/>
      <c r="M109" s="11"/>
      <c r="N109" s="11"/>
    </row>
    <row r="110" spans="1:14" s="14" customFormat="1" ht="33" customHeight="1" hidden="1">
      <c r="A110" s="73"/>
      <c r="B110" s="35" t="s">
        <v>13</v>
      </c>
      <c r="C110" s="39" t="s">
        <v>19</v>
      </c>
      <c r="D110" s="22"/>
      <c r="E110" s="40"/>
      <c r="F110" s="21"/>
      <c r="G110" s="21"/>
      <c r="H110" s="20"/>
      <c r="I110" s="20"/>
      <c r="J110" s="20"/>
      <c r="K110" s="20"/>
      <c r="L110" s="75"/>
      <c r="M110" s="13"/>
      <c r="N110" s="13"/>
    </row>
    <row r="111" spans="1:14" s="12" customFormat="1" ht="19.5" customHeight="1" hidden="1">
      <c r="A111" s="71" t="s">
        <v>16</v>
      </c>
      <c r="B111" s="23"/>
      <c r="C111" s="23"/>
      <c r="D111" s="23"/>
      <c r="E111" s="23"/>
      <c r="F111" s="24"/>
      <c r="G111" s="24"/>
      <c r="H111" s="24"/>
      <c r="I111" s="24"/>
      <c r="J111" s="24"/>
      <c r="K111" s="24"/>
      <c r="L111" s="72"/>
      <c r="M111" s="11"/>
      <c r="N111" s="11"/>
    </row>
    <row r="112" spans="1:14" s="14" customFormat="1" ht="33" customHeight="1" hidden="1">
      <c r="A112" s="73"/>
      <c r="B112" s="35" t="s">
        <v>17</v>
      </c>
      <c r="C112" s="39" t="s">
        <v>19</v>
      </c>
      <c r="D112" s="22"/>
      <c r="E112" s="40"/>
      <c r="F112" s="21"/>
      <c r="G112" s="21"/>
      <c r="H112" s="20"/>
      <c r="I112" s="20"/>
      <c r="J112" s="20"/>
      <c r="K112" s="20"/>
      <c r="L112" s="75"/>
      <c r="M112" s="13"/>
      <c r="N112" s="13"/>
    </row>
    <row r="113" spans="1:14" s="12" customFormat="1" ht="19.5" customHeight="1" hidden="1">
      <c r="A113" s="71" t="s">
        <v>18</v>
      </c>
      <c r="B113" s="23"/>
      <c r="C113" s="23"/>
      <c r="D113" s="23"/>
      <c r="E113" s="23"/>
      <c r="F113" s="24"/>
      <c r="G113" s="24"/>
      <c r="H113" s="24"/>
      <c r="I113" s="24"/>
      <c r="J113" s="24"/>
      <c r="K113" s="24"/>
      <c r="L113" s="72"/>
      <c r="M113" s="11"/>
      <c r="N113" s="11"/>
    </row>
    <row r="114" spans="1:14" s="14" customFormat="1" ht="22.5" customHeight="1" hidden="1">
      <c r="A114" s="73"/>
      <c r="B114" s="35"/>
      <c r="C114" s="39" t="s">
        <v>19</v>
      </c>
      <c r="D114" s="22"/>
      <c r="E114" s="40"/>
      <c r="F114" s="21"/>
      <c r="G114" s="21"/>
      <c r="H114" s="20"/>
      <c r="I114" s="20"/>
      <c r="J114" s="20"/>
      <c r="K114" s="20"/>
      <c r="L114" s="75"/>
      <c r="M114" s="13"/>
      <c r="N114" s="13"/>
    </row>
    <row r="115" spans="1:14" s="14" customFormat="1" ht="18" customHeight="1" hidden="1">
      <c r="A115" s="73"/>
      <c r="B115" s="35"/>
      <c r="C115" s="18"/>
      <c r="D115" s="19"/>
      <c r="E115" s="38"/>
      <c r="F115" s="21"/>
      <c r="G115" s="21"/>
      <c r="H115" s="20"/>
      <c r="I115" s="20"/>
      <c r="J115" s="20"/>
      <c r="K115" s="20"/>
      <c r="L115" s="75"/>
      <c r="M115" s="13"/>
      <c r="N115" s="13"/>
    </row>
    <row r="116" spans="1:14" s="14" customFormat="1" ht="18" customHeight="1" hidden="1">
      <c r="A116" s="73"/>
      <c r="B116" s="35"/>
      <c r="C116" s="18"/>
      <c r="D116" s="19"/>
      <c r="E116" s="38"/>
      <c r="F116" s="21"/>
      <c r="G116" s="21"/>
      <c r="H116" s="20"/>
      <c r="I116" s="20"/>
      <c r="J116" s="20"/>
      <c r="K116" s="20"/>
      <c r="L116" s="75"/>
      <c r="M116" s="13"/>
      <c r="N116" s="13"/>
    </row>
    <row r="117" spans="1:14" s="14" customFormat="1" ht="18" customHeight="1" hidden="1">
      <c r="A117" s="73"/>
      <c r="B117" s="35"/>
      <c r="C117" s="18"/>
      <c r="D117" s="19"/>
      <c r="E117" s="38"/>
      <c r="F117" s="21"/>
      <c r="G117" s="21"/>
      <c r="H117" s="20"/>
      <c r="I117" s="20"/>
      <c r="J117" s="20"/>
      <c r="K117" s="20"/>
      <c r="L117" s="75"/>
      <c r="M117" s="13"/>
      <c r="N117" s="13"/>
    </row>
    <row r="118" spans="1:12" s="17" customFormat="1" ht="21" customHeight="1" thickBot="1">
      <c r="A118" s="92"/>
      <c r="B118" s="93" t="s">
        <v>180</v>
      </c>
      <c r="C118" s="94"/>
      <c r="D118" s="95"/>
      <c r="E118" s="96"/>
      <c r="F118" s="97"/>
      <c r="G118" s="98"/>
      <c r="H118" s="98">
        <f>SUM(H11:H117)</f>
        <v>0</v>
      </c>
      <c r="I118" s="98">
        <f>SUM(I11:I117)</f>
        <v>0</v>
      </c>
      <c r="J118" s="98">
        <f>SUM(J11:J117)</f>
        <v>0</v>
      </c>
      <c r="K118" s="98">
        <f>SUM(K11:K117)</f>
        <v>0</v>
      </c>
      <c r="L118" s="99"/>
    </row>
    <row r="119" spans="1:12" s="17" customFormat="1" ht="21" customHeight="1">
      <c r="A119" s="112" t="s">
        <v>181</v>
      </c>
      <c r="B119" s="113"/>
      <c r="C119" s="113"/>
      <c r="D119" s="113"/>
      <c r="E119" s="113"/>
      <c r="F119" s="114"/>
      <c r="G119" s="114"/>
      <c r="H119" s="114"/>
      <c r="I119" s="114"/>
      <c r="J119" s="114"/>
      <c r="K119" s="114"/>
      <c r="L119" s="115"/>
    </row>
    <row r="120" spans="1:12" s="12" customFormat="1" ht="19.5" customHeight="1">
      <c r="A120" s="71" t="s">
        <v>20</v>
      </c>
      <c r="B120" s="23"/>
      <c r="C120" s="23"/>
      <c r="D120" s="23"/>
      <c r="E120" s="23"/>
      <c r="F120" s="24"/>
      <c r="G120" s="24"/>
      <c r="H120" s="24"/>
      <c r="I120" s="24"/>
      <c r="J120" s="24"/>
      <c r="K120" s="24"/>
      <c r="L120" s="76"/>
    </row>
    <row r="121" spans="1:12" s="16" customFormat="1" ht="17.25" customHeight="1">
      <c r="A121" s="73"/>
      <c r="B121" s="35" t="s">
        <v>21</v>
      </c>
      <c r="C121" s="18" t="s">
        <v>22</v>
      </c>
      <c r="D121" s="18" t="s">
        <v>11</v>
      </c>
      <c r="E121" s="37">
        <f>91+528+360+301+10</f>
        <v>1290</v>
      </c>
      <c r="F121" s="129"/>
      <c r="G121" s="129"/>
      <c r="H121" s="20">
        <f>F121+G121</f>
        <v>0</v>
      </c>
      <c r="I121" s="20">
        <f>F121*$E121</f>
        <v>0</v>
      </c>
      <c r="J121" s="20">
        <f>G121*$E121</f>
        <v>0</v>
      </c>
      <c r="K121" s="20">
        <f>I121+J121</f>
        <v>0</v>
      </c>
      <c r="L121" s="116"/>
    </row>
    <row r="122" spans="1:12" s="16" customFormat="1" ht="17.25" customHeight="1">
      <c r="A122" s="73"/>
      <c r="B122" s="35" t="s">
        <v>23</v>
      </c>
      <c r="C122" s="18" t="s">
        <v>24</v>
      </c>
      <c r="D122" s="18" t="s">
        <v>25</v>
      </c>
      <c r="E122" s="37">
        <f>11+63+44+37+1</f>
        <v>156</v>
      </c>
      <c r="F122" s="129"/>
      <c r="G122" s="129"/>
      <c r="H122" s="20">
        <f aca="true" t="shared" si="24" ref="H122:H131">F122+G122</f>
        <v>0</v>
      </c>
      <c r="I122" s="20">
        <f aca="true" t="shared" si="25" ref="I122:I131">F122*$E122</f>
        <v>0</v>
      </c>
      <c r="J122" s="20">
        <f aca="true" t="shared" si="26" ref="J122:J131">G122*$E122</f>
        <v>0</v>
      </c>
      <c r="K122" s="20">
        <f aca="true" t="shared" si="27" ref="K122:K131">I122+J122</f>
        <v>0</v>
      </c>
      <c r="L122" s="116"/>
    </row>
    <row r="123" spans="1:12" s="16" customFormat="1" ht="17.25" customHeight="1">
      <c r="A123" s="73"/>
      <c r="B123" s="35" t="s">
        <v>26</v>
      </c>
      <c r="C123" s="18" t="s">
        <v>8</v>
      </c>
      <c r="D123" s="18" t="s">
        <v>5</v>
      </c>
      <c r="E123" s="36">
        <f>(35.36+194.48+44.2+61.88+141.44+26.52)/1000</f>
        <v>0.5038799999999999</v>
      </c>
      <c r="F123" s="129"/>
      <c r="G123" s="129"/>
      <c r="H123" s="20">
        <f t="shared" si="24"/>
        <v>0</v>
      </c>
      <c r="I123" s="20">
        <f t="shared" si="25"/>
        <v>0</v>
      </c>
      <c r="J123" s="20">
        <f t="shared" si="26"/>
        <v>0</v>
      </c>
      <c r="K123" s="20">
        <f t="shared" si="27"/>
        <v>0</v>
      </c>
      <c r="L123" s="116"/>
    </row>
    <row r="124" spans="1:12" s="16" customFormat="1" ht="17.25" customHeight="1">
      <c r="A124" s="73"/>
      <c r="B124" s="35" t="s">
        <v>28</v>
      </c>
      <c r="C124" s="18" t="s">
        <v>29</v>
      </c>
      <c r="D124" s="18" t="s">
        <v>5</v>
      </c>
      <c r="E124" s="36">
        <f>(223.65+6.63+631.33+52.02+255.6+18.36+153.36+19.38+594.27+36.21+76.68+3.06)/1000</f>
        <v>2.07055</v>
      </c>
      <c r="F124" s="129"/>
      <c r="G124" s="129"/>
      <c r="H124" s="20">
        <f t="shared" si="24"/>
        <v>0</v>
      </c>
      <c r="I124" s="20">
        <f t="shared" si="25"/>
        <v>0</v>
      </c>
      <c r="J124" s="20">
        <f t="shared" si="26"/>
        <v>0</v>
      </c>
      <c r="K124" s="20">
        <f t="shared" si="27"/>
        <v>0</v>
      </c>
      <c r="L124" s="116"/>
    </row>
    <row r="125" spans="1:12" s="16" customFormat="1" ht="17.25" customHeight="1">
      <c r="A125" s="73"/>
      <c r="B125" s="35" t="s">
        <v>30</v>
      </c>
      <c r="C125" s="18" t="s">
        <v>9</v>
      </c>
      <c r="D125" s="18" t="s">
        <v>5</v>
      </c>
      <c r="E125" s="36">
        <f>(7.36+193.57+22.08+106.72+61.82+14.72)/1000</f>
        <v>0.40627</v>
      </c>
      <c r="F125" s="129"/>
      <c r="G125" s="129"/>
      <c r="H125" s="20">
        <f t="shared" si="24"/>
        <v>0</v>
      </c>
      <c r="I125" s="20">
        <f t="shared" si="25"/>
        <v>0</v>
      </c>
      <c r="J125" s="20">
        <f t="shared" si="26"/>
        <v>0</v>
      </c>
      <c r="K125" s="20">
        <f t="shared" si="27"/>
        <v>0</v>
      </c>
      <c r="L125" s="116"/>
    </row>
    <row r="126" spans="1:12" s="16" customFormat="1" ht="17.25" customHeight="1">
      <c r="A126" s="73"/>
      <c r="B126" s="35" t="s">
        <v>31</v>
      </c>
      <c r="C126" s="18" t="s">
        <v>32</v>
      </c>
      <c r="D126" s="18" t="s">
        <v>5</v>
      </c>
      <c r="E126" s="36">
        <f>(430.06+2365.35+604.36+846.1+2005.18+307.19)/1000</f>
        <v>6.55824</v>
      </c>
      <c r="F126" s="130"/>
      <c r="G126" s="129"/>
      <c r="H126" s="20">
        <f t="shared" si="24"/>
        <v>0</v>
      </c>
      <c r="I126" s="20">
        <f t="shared" si="25"/>
        <v>0</v>
      </c>
      <c r="J126" s="20">
        <f t="shared" si="26"/>
        <v>0</v>
      </c>
      <c r="K126" s="20">
        <f t="shared" si="27"/>
        <v>0</v>
      </c>
      <c r="L126" s="116"/>
    </row>
    <row r="127" spans="1:12" s="16" customFormat="1" ht="17.25" customHeight="1">
      <c r="A127" s="73"/>
      <c r="B127" s="35" t="s">
        <v>33</v>
      </c>
      <c r="C127" s="18" t="s">
        <v>34</v>
      </c>
      <c r="D127" s="18" t="s">
        <v>5</v>
      </c>
      <c r="E127" s="36">
        <f>(767.04+3132.46+1175+1150.56+2529.54+154.16)/1000</f>
        <v>8.90876</v>
      </c>
      <c r="F127" s="129"/>
      <c r="G127" s="129"/>
      <c r="H127" s="20">
        <f t="shared" si="24"/>
        <v>0</v>
      </c>
      <c r="I127" s="20">
        <f t="shared" si="25"/>
        <v>0</v>
      </c>
      <c r="J127" s="20">
        <f t="shared" si="26"/>
        <v>0</v>
      </c>
      <c r="K127" s="20">
        <f t="shared" si="27"/>
        <v>0</v>
      </c>
      <c r="L127" s="116"/>
    </row>
    <row r="128" spans="1:12" s="16" customFormat="1" ht="17.25" customHeight="1">
      <c r="A128" s="73"/>
      <c r="B128" s="35" t="s">
        <v>91</v>
      </c>
      <c r="C128" s="18" t="s">
        <v>10</v>
      </c>
      <c r="D128" s="18" t="s">
        <v>5</v>
      </c>
      <c r="E128" s="36">
        <f>(463.84+3192.8+813.28+1370.72+1926.08+75.92)/1000</f>
        <v>7.84264</v>
      </c>
      <c r="F128" s="129"/>
      <c r="G128" s="129"/>
      <c r="H128" s="20">
        <f t="shared" si="24"/>
        <v>0</v>
      </c>
      <c r="I128" s="20">
        <f t="shared" si="25"/>
        <v>0</v>
      </c>
      <c r="J128" s="20">
        <f t="shared" si="26"/>
        <v>0</v>
      </c>
      <c r="K128" s="20">
        <f t="shared" si="27"/>
        <v>0</v>
      </c>
      <c r="L128" s="116"/>
    </row>
    <row r="129" spans="1:12" s="16" customFormat="1" ht="17.25" customHeight="1">
      <c r="A129" s="73"/>
      <c r="B129" s="35" t="s">
        <v>35</v>
      </c>
      <c r="C129" s="18" t="s">
        <v>9</v>
      </c>
      <c r="D129" s="18" t="s">
        <v>5</v>
      </c>
      <c r="E129" s="36">
        <f>(1.51*9+3.02*20+1.51*51+3.02*121+1.51*14+3.02*33+1.51*18+3.02*46+1.51*36+3.02*72+1.51*4+3.02*9)/1000</f>
        <v>1.1083399999999999</v>
      </c>
      <c r="F129" s="129"/>
      <c r="G129" s="129"/>
      <c r="H129" s="20">
        <f t="shared" si="24"/>
        <v>0</v>
      </c>
      <c r="I129" s="20">
        <f t="shared" si="25"/>
        <v>0</v>
      </c>
      <c r="J129" s="20">
        <f t="shared" si="26"/>
        <v>0</v>
      </c>
      <c r="K129" s="20">
        <f t="shared" si="27"/>
        <v>0</v>
      </c>
      <c r="L129" s="116"/>
    </row>
    <row r="130" spans="1:12" s="16" customFormat="1" ht="17.25" customHeight="1">
      <c r="A130" s="73"/>
      <c r="B130" s="35" t="s">
        <v>36</v>
      </c>
      <c r="C130" s="18" t="s">
        <v>8</v>
      </c>
      <c r="D130" s="18" t="s">
        <v>5</v>
      </c>
      <c r="E130" s="36">
        <f>(0.45*9+0.45*20+0.45*51+0.45*121+0.45*14+0.45*33+0.45*18+0.45*46+0.45*36+0.45*72+0.45*4+0.45*9)/1000</f>
        <v>0.19485</v>
      </c>
      <c r="F130" s="129"/>
      <c r="G130" s="129"/>
      <c r="H130" s="20">
        <f t="shared" si="24"/>
        <v>0</v>
      </c>
      <c r="I130" s="20">
        <f t="shared" si="25"/>
        <v>0</v>
      </c>
      <c r="J130" s="20">
        <f t="shared" si="26"/>
        <v>0</v>
      </c>
      <c r="K130" s="20">
        <f t="shared" si="27"/>
        <v>0</v>
      </c>
      <c r="L130" s="116"/>
    </row>
    <row r="131" spans="1:12" s="16" customFormat="1" ht="17.25" customHeight="1">
      <c r="A131" s="73"/>
      <c r="B131" s="35" t="s">
        <v>37</v>
      </c>
      <c r="C131" s="18"/>
      <c r="D131" s="18" t="s">
        <v>7</v>
      </c>
      <c r="E131" s="37">
        <f>56+330+86+120+208+30</f>
        <v>830</v>
      </c>
      <c r="F131" s="129"/>
      <c r="G131" s="129"/>
      <c r="H131" s="20">
        <f t="shared" si="24"/>
        <v>0</v>
      </c>
      <c r="I131" s="20">
        <f t="shared" si="25"/>
        <v>0</v>
      </c>
      <c r="J131" s="20">
        <f t="shared" si="26"/>
        <v>0</v>
      </c>
      <c r="K131" s="20">
        <f t="shared" si="27"/>
        <v>0</v>
      </c>
      <c r="L131" s="116"/>
    </row>
    <row r="132" spans="1:12" s="12" customFormat="1" ht="19.5" customHeight="1">
      <c r="A132" s="71" t="s">
        <v>38</v>
      </c>
      <c r="B132" s="23"/>
      <c r="C132" s="23"/>
      <c r="D132" s="23"/>
      <c r="E132" s="23"/>
      <c r="F132" s="24"/>
      <c r="G132" s="24"/>
      <c r="H132" s="24"/>
      <c r="I132" s="24"/>
      <c r="J132" s="24"/>
      <c r="K132" s="24"/>
      <c r="L132" s="76"/>
    </row>
    <row r="133" spans="1:12" s="14" customFormat="1" ht="17.25" customHeight="1">
      <c r="A133" s="73"/>
      <c r="B133" s="86" t="s">
        <v>39</v>
      </c>
      <c r="C133" s="87" t="s">
        <v>9</v>
      </c>
      <c r="D133" s="87" t="s">
        <v>27</v>
      </c>
      <c r="E133" s="88">
        <f>61.5*3+63*5+54.7*8</f>
        <v>937.1</v>
      </c>
      <c r="F133" s="131"/>
      <c r="G133" s="131"/>
      <c r="H133" s="20">
        <f>F133+G133</f>
        <v>0</v>
      </c>
      <c r="I133" s="20">
        <f>F133*$E133</f>
        <v>0</v>
      </c>
      <c r="J133" s="20">
        <f>G133*$E133</f>
        <v>0</v>
      </c>
      <c r="K133" s="20">
        <f>I133+J133</f>
        <v>0</v>
      </c>
      <c r="L133" s="117"/>
    </row>
    <row r="134" spans="1:12" s="14" customFormat="1" ht="17.25" customHeight="1">
      <c r="A134" s="73"/>
      <c r="B134" s="89" t="s">
        <v>40</v>
      </c>
      <c r="C134" s="87" t="s">
        <v>41</v>
      </c>
      <c r="D134" s="87" t="s">
        <v>27</v>
      </c>
      <c r="E134" s="88">
        <f>43.3*3+43.3*5+43.3*8</f>
        <v>692.8</v>
      </c>
      <c r="F134" s="131"/>
      <c r="G134" s="131"/>
      <c r="H134" s="20">
        <f>F134+G134</f>
        <v>0</v>
      </c>
      <c r="I134" s="20">
        <f>F134*$E134</f>
        <v>0</v>
      </c>
      <c r="J134" s="20">
        <f>G134*$E134</f>
        <v>0</v>
      </c>
      <c r="K134" s="20">
        <f>I134+J134</f>
        <v>0</v>
      </c>
      <c r="L134" s="117"/>
    </row>
    <row r="135" spans="1:12" s="14" customFormat="1" ht="17.25" customHeight="1">
      <c r="A135" s="73"/>
      <c r="B135" s="89" t="s">
        <v>42</v>
      </c>
      <c r="C135" s="87" t="s">
        <v>9</v>
      </c>
      <c r="D135" s="87" t="s">
        <v>27</v>
      </c>
      <c r="E135" s="88">
        <f>55.8*3+55.8*5+55.8*8</f>
        <v>892.8</v>
      </c>
      <c r="F135" s="131"/>
      <c r="G135" s="131"/>
      <c r="H135" s="20">
        <f>F135+G135</f>
        <v>0</v>
      </c>
      <c r="I135" s="20">
        <f>F135*$E135</f>
        <v>0</v>
      </c>
      <c r="J135" s="20">
        <f>G135*$E135</f>
        <v>0</v>
      </c>
      <c r="K135" s="20">
        <f>I135+J135</f>
        <v>0</v>
      </c>
      <c r="L135" s="117"/>
    </row>
    <row r="136" spans="1:12" s="14" customFormat="1" ht="17.25" customHeight="1">
      <c r="A136" s="73"/>
      <c r="B136" s="89" t="s">
        <v>45</v>
      </c>
      <c r="C136" s="87" t="s">
        <v>43</v>
      </c>
      <c r="D136" s="87" t="s">
        <v>27</v>
      </c>
      <c r="E136" s="88">
        <f>1.8*3+1.8*5+1.4*8</f>
        <v>25.6</v>
      </c>
      <c r="F136" s="131"/>
      <c r="G136" s="131"/>
      <c r="H136" s="20">
        <f>F136+G136</f>
        <v>0</v>
      </c>
      <c r="I136" s="20">
        <f>F136*$E136</f>
        <v>0</v>
      </c>
      <c r="J136" s="20">
        <f>G136*$E136</f>
        <v>0</v>
      </c>
      <c r="K136" s="20">
        <f>I136+J136</f>
        <v>0</v>
      </c>
      <c r="L136" s="117"/>
    </row>
    <row r="137" spans="1:12" s="12" customFormat="1" ht="19.5" customHeight="1">
      <c r="A137" s="71" t="s">
        <v>44</v>
      </c>
      <c r="B137" s="23"/>
      <c r="C137" s="23"/>
      <c r="D137" s="23"/>
      <c r="E137" s="23"/>
      <c r="F137" s="24"/>
      <c r="G137" s="24"/>
      <c r="H137" s="24"/>
      <c r="I137" s="24"/>
      <c r="J137" s="24"/>
      <c r="K137" s="24"/>
      <c r="L137" s="76"/>
    </row>
    <row r="138" spans="1:12" s="14" customFormat="1" ht="17.25" customHeight="1">
      <c r="A138" s="73"/>
      <c r="B138" s="86" t="s">
        <v>39</v>
      </c>
      <c r="C138" s="87" t="s">
        <v>9</v>
      </c>
      <c r="D138" s="87" t="s">
        <v>27</v>
      </c>
      <c r="E138" s="88">
        <f>(66.4*8+58.8+57.7*2+78.8*3+71.3*2)</f>
        <v>1084.3999999999999</v>
      </c>
      <c r="F138" s="131"/>
      <c r="G138" s="131"/>
      <c r="H138" s="20">
        <f>F138+G138</f>
        <v>0</v>
      </c>
      <c r="I138" s="20">
        <f>F138*$E138</f>
        <v>0</v>
      </c>
      <c r="J138" s="20">
        <f>G138*$E138</f>
        <v>0</v>
      </c>
      <c r="K138" s="20">
        <f>I138+J138</f>
        <v>0</v>
      </c>
      <c r="L138" s="117"/>
    </row>
    <row r="139" spans="1:12" s="14" customFormat="1" ht="17.25" customHeight="1">
      <c r="A139" s="73"/>
      <c r="B139" s="89" t="s">
        <v>40</v>
      </c>
      <c r="C139" s="87" t="s">
        <v>41</v>
      </c>
      <c r="D139" s="87" t="s">
        <v>27</v>
      </c>
      <c r="E139" s="88">
        <f>(57.1*8+55.2+53.2*2+65*3+61.1*2)</f>
        <v>935.6</v>
      </c>
      <c r="F139" s="131"/>
      <c r="G139" s="131"/>
      <c r="H139" s="20">
        <f aca="true" t="shared" si="28" ref="H139:H149">F139+G139</f>
        <v>0</v>
      </c>
      <c r="I139" s="20">
        <f aca="true" t="shared" si="29" ref="I139:I149">F139*$E139</f>
        <v>0</v>
      </c>
      <c r="J139" s="20">
        <f aca="true" t="shared" si="30" ref="J139:J149">G139*$E139</f>
        <v>0</v>
      </c>
      <c r="K139" s="20">
        <f aca="true" t="shared" si="31" ref="K139:K149">I139+J139</f>
        <v>0</v>
      </c>
      <c r="L139" s="117"/>
    </row>
    <row r="140" spans="1:12" s="14" customFormat="1" ht="17.25" customHeight="1">
      <c r="A140" s="73"/>
      <c r="B140" s="89" t="s">
        <v>42</v>
      </c>
      <c r="C140" s="87" t="s">
        <v>9</v>
      </c>
      <c r="D140" s="87" t="s">
        <v>27</v>
      </c>
      <c r="E140" s="88">
        <f>(55.8*8+55.8+55.8*2+55.8*3+55.8*2)</f>
        <v>892.8</v>
      </c>
      <c r="F140" s="131"/>
      <c r="G140" s="131"/>
      <c r="H140" s="20">
        <f t="shared" si="28"/>
        <v>0</v>
      </c>
      <c r="I140" s="20">
        <f t="shared" si="29"/>
        <v>0</v>
      </c>
      <c r="J140" s="20">
        <f t="shared" si="30"/>
        <v>0</v>
      </c>
      <c r="K140" s="20">
        <f t="shared" si="31"/>
        <v>0</v>
      </c>
      <c r="L140" s="117"/>
    </row>
    <row r="141" spans="1:12" s="14" customFormat="1" ht="17.25" customHeight="1">
      <c r="A141" s="73"/>
      <c r="B141" s="89" t="s">
        <v>45</v>
      </c>
      <c r="C141" s="87" t="s">
        <v>43</v>
      </c>
      <c r="D141" s="87" t="s">
        <v>27</v>
      </c>
      <c r="E141" s="88">
        <f>(1.1*8+0.8+0.8*2+1.3*3+1.1*2+0.5)</f>
        <v>17.8</v>
      </c>
      <c r="F141" s="131"/>
      <c r="G141" s="131"/>
      <c r="H141" s="20">
        <f t="shared" si="28"/>
        <v>0</v>
      </c>
      <c r="I141" s="20">
        <f t="shared" si="29"/>
        <v>0</v>
      </c>
      <c r="J141" s="20">
        <f t="shared" si="30"/>
        <v>0</v>
      </c>
      <c r="K141" s="20">
        <f t="shared" si="31"/>
        <v>0</v>
      </c>
      <c r="L141" s="117"/>
    </row>
    <row r="142" spans="1:12" s="14" customFormat="1" ht="17.25" customHeight="1">
      <c r="A142" s="73"/>
      <c r="B142" s="89" t="s">
        <v>49</v>
      </c>
      <c r="C142" s="87" t="s">
        <v>9</v>
      </c>
      <c r="D142" s="87" t="s">
        <v>27</v>
      </c>
      <c r="E142" s="88">
        <f>(69.9)</f>
        <v>69.9</v>
      </c>
      <c r="F142" s="131"/>
      <c r="G142" s="131"/>
      <c r="H142" s="20">
        <f t="shared" si="28"/>
        <v>0</v>
      </c>
      <c r="I142" s="20">
        <f t="shared" si="29"/>
        <v>0</v>
      </c>
      <c r="J142" s="20">
        <f t="shared" si="30"/>
        <v>0</v>
      </c>
      <c r="K142" s="20">
        <f t="shared" si="31"/>
        <v>0</v>
      </c>
      <c r="L142" s="117"/>
    </row>
    <row r="143" spans="1:12" s="14" customFormat="1" ht="17.25" customHeight="1">
      <c r="A143" s="73"/>
      <c r="B143" s="89" t="s">
        <v>48</v>
      </c>
      <c r="C143" s="87" t="s">
        <v>9</v>
      </c>
      <c r="D143" s="87" t="s">
        <v>27</v>
      </c>
      <c r="E143" s="88">
        <f>(16.9)</f>
        <v>16.9</v>
      </c>
      <c r="F143" s="131"/>
      <c r="G143" s="131"/>
      <c r="H143" s="20">
        <f t="shared" si="28"/>
        <v>0</v>
      </c>
      <c r="I143" s="20">
        <f t="shared" si="29"/>
        <v>0</v>
      </c>
      <c r="J143" s="20">
        <f t="shared" si="30"/>
        <v>0</v>
      </c>
      <c r="K143" s="20">
        <f t="shared" si="31"/>
        <v>0</v>
      </c>
      <c r="L143" s="117"/>
    </row>
    <row r="144" spans="1:12" s="14" customFormat="1" ht="17.25" customHeight="1">
      <c r="A144" s="73"/>
      <c r="B144" s="89" t="s">
        <v>157</v>
      </c>
      <c r="C144" s="87" t="s">
        <v>41</v>
      </c>
      <c r="D144" s="87" t="s">
        <v>27</v>
      </c>
      <c r="E144" s="88">
        <f>(55.8)</f>
        <v>55.8</v>
      </c>
      <c r="F144" s="131"/>
      <c r="G144" s="131"/>
      <c r="H144" s="20">
        <f t="shared" si="28"/>
        <v>0</v>
      </c>
      <c r="I144" s="20">
        <f t="shared" si="29"/>
        <v>0</v>
      </c>
      <c r="J144" s="20">
        <f t="shared" si="30"/>
        <v>0</v>
      </c>
      <c r="K144" s="20">
        <f t="shared" si="31"/>
        <v>0</v>
      </c>
      <c r="L144" s="117"/>
    </row>
    <row r="145" spans="1:12" s="14" customFormat="1" ht="17.25" customHeight="1">
      <c r="A145" s="73"/>
      <c r="B145" s="89" t="s">
        <v>158</v>
      </c>
      <c r="C145" s="87" t="s">
        <v>9</v>
      </c>
      <c r="D145" s="87" t="s">
        <v>27</v>
      </c>
      <c r="E145" s="88">
        <f>(9.9)</f>
        <v>9.9</v>
      </c>
      <c r="F145" s="131"/>
      <c r="G145" s="131"/>
      <c r="H145" s="20">
        <f t="shared" si="28"/>
        <v>0</v>
      </c>
      <c r="I145" s="20">
        <f t="shared" si="29"/>
        <v>0</v>
      </c>
      <c r="J145" s="20">
        <f t="shared" si="30"/>
        <v>0</v>
      </c>
      <c r="K145" s="20">
        <f t="shared" si="31"/>
        <v>0</v>
      </c>
      <c r="L145" s="117"/>
    </row>
    <row r="146" spans="1:12" s="14" customFormat="1" ht="17.25" customHeight="1">
      <c r="A146" s="73"/>
      <c r="B146" s="89" t="s">
        <v>159</v>
      </c>
      <c r="C146" s="87" t="s">
        <v>8</v>
      </c>
      <c r="D146" s="87" t="s">
        <v>27</v>
      </c>
      <c r="E146" s="88">
        <f>(13.8)</f>
        <v>13.8</v>
      </c>
      <c r="F146" s="131"/>
      <c r="G146" s="131"/>
      <c r="H146" s="20">
        <f t="shared" si="28"/>
        <v>0</v>
      </c>
      <c r="I146" s="20">
        <f t="shared" si="29"/>
        <v>0</v>
      </c>
      <c r="J146" s="20">
        <f t="shared" si="30"/>
        <v>0</v>
      </c>
      <c r="K146" s="20">
        <f t="shared" si="31"/>
        <v>0</v>
      </c>
      <c r="L146" s="117"/>
    </row>
    <row r="147" spans="1:12" s="14" customFormat="1" ht="17.25" customHeight="1">
      <c r="A147" s="73"/>
      <c r="B147" s="89" t="s">
        <v>160</v>
      </c>
      <c r="C147" s="87" t="s">
        <v>80</v>
      </c>
      <c r="D147" s="87" t="s">
        <v>7</v>
      </c>
      <c r="E147" s="90">
        <v>4</v>
      </c>
      <c r="F147" s="131"/>
      <c r="G147" s="131"/>
      <c r="H147" s="20">
        <f t="shared" si="28"/>
        <v>0</v>
      </c>
      <c r="I147" s="20">
        <f t="shared" si="29"/>
        <v>0</v>
      </c>
      <c r="J147" s="20">
        <f t="shared" si="30"/>
        <v>0</v>
      </c>
      <c r="K147" s="20">
        <f t="shared" si="31"/>
        <v>0</v>
      </c>
      <c r="L147" s="117"/>
    </row>
    <row r="148" spans="1:12" s="14" customFormat="1" ht="17.25" customHeight="1">
      <c r="A148" s="73"/>
      <c r="B148" s="89" t="s">
        <v>161</v>
      </c>
      <c r="C148" s="87" t="s">
        <v>162</v>
      </c>
      <c r="D148" s="87" t="s">
        <v>7</v>
      </c>
      <c r="E148" s="90">
        <v>4</v>
      </c>
      <c r="F148" s="131"/>
      <c r="G148" s="131"/>
      <c r="H148" s="20">
        <f t="shared" si="28"/>
        <v>0</v>
      </c>
      <c r="I148" s="20">
        <f t="shared" si="29"/>
        <v>0</v>
      </c>
      <c r="J148" s="20">
        <f t="shared" si="30"/>
        <v>0</v>
      </c>
      <c r="K148" s="20">
        <f t="shared" si="31"/>
        <v>0</v>
      </c>
      <c r="L148" s="117"/>
    </row>
    <row r="149" spans="1:12" s="14" customFormat="1" ht="17.25" customHeight="1">
      <c r="A149" s="73"/>
      <c r="B149" s="89" t="s">
        <v>163</v>
      </c>
      <c r="C149" s="87" t="s">
        <v>82</v>
      </c>
      <c r="D149" s="87" t="s">
        <v>7</v>
      </c>
      <c r="E149" s="90">
        <v>8</v>
      </c>
      <c r="F149" s="131"/>
      <c r="G149" s="131"/>
      <c r="H149" s="20">
        <f t="shared" si="28"/>
        <v>0</v>
      </c>
      <c r="I149" s="20">
        <f t="shared" si="29"/>
        <v>0</v>
      </c>
      <c r="J149" s="20">
        <f t="shared" si="30"/>
        <v>0</v>
      </c>
      <c r="K149" s="20">
        <f t="shared" si="31"/>
        <v>0</v>
      </c>
      <c r="L149" s="117"/>
    </row>
    <row r="150" spans="1:12" s="14" customFormat="1" ht="17.25" customHeight="1">
      <c r="A150" s="71" t="s">
        <v>92</v>
      </c>
      <c r="B150" s="47"/>
      <c r="C150" s="48"/>
      <c r="D150" s="48"/>
      <c r="E150" s="53"/>
      <c r="F150" s="50"/>
      <c r="G150" s="50"/>
      <c r="H150" s="34"/>
      <c r="I150" s="34"/>
      <c r="J150" s="34"/>
      <c r="K150" s="34"/>
      <c r="L150" s="118"/>
    </row>
    <row r="151" spans="1:12" s="14" customFormat="1" ht="17.25" customHeight="1">
      <c r="A151" s="73"/>
      <c r="B151" s="86" t="s">
        <v>52</v>
      </c>
      <c r="C151" s="87" t="s">
        <v>8</v>
      </c>
      <c r="D151" s="87" t="s">
        <v>27</v>
      </c>
      <c r="E151" s="88">
        <f>11.8+11.8+11.8</f>
        <v>35.400000000000006</v>
      </c>
      <c r="F151" s="131"/>
      <c r="G151" s="131"/>
      <c r="H151" s="20">
        <f>F151+G151</f>
        <v>0</v>
      </c>
      <c r="I151" s="20">
        <f>F151*$E151</f>
        <v>0</v>
      </c>
      <c r="J151" s="20">
        <f>G151*$E151</f>
        <v>0</v>
      </c>
      <c r="K151" s="20">
        <f>I151+J151</f>
        <v>0</v>
      </c>
      <c r="L151" s="119"/>
    </row>
    <row r="152" spans="1:12" s="14" customFormat="1" ht="17.25" customHeight="1">
      <c r="A152" s="73"/>
      <c r="B152" s="86" t="s">
        <v>164</v>
      </c>
      <c r="C152" s="87" t="s">
        <v>10</v>
      </c>
      <c r="D152" s="87" t="s">
        <v>27</v>
      </c>
      <c r="E152" s="88">
        <f>29.4+31.2+31.2</f>
        <v>91.8</v>
      </c>
      <c r="F152" s="131"/>
      <c r="G152" s="131"/>
      <c r="H152" s="20">
        <f>F152+G152</f>
        <v>0</v>
      </c>
      <c r="I152" s="20">
        <f>F152*$E152</f>
        <v>0</v>
      </c>
      <c r="J152" s="20">
        <f>G152*$E152</f>
        <v>0</v>
      </c>
      <c r="K152" s="20">
        <f>I152+J152</f>
        <v>0</v>
      </c>
      <c r="L152" s="119"/>
    </row>
    <row r="153" spans="1:12" s="14" customFormat="1" ht="17.25" customHeight="1">
      <c r="A153" s="73"/>
      <c r="B153" s="86" t="s">
        <v>165</v>
      </c>
      <c r="C153" s="87" t="s">
        <v>9</v>
      </c>
      <c r="D153" s="87" t="s">
        <v>27</v>
      </c>
      <c r="E153" s="88">
        <f>8.95+8.47+8.47</f>
        <v>25.89</v>
      </c>
      <c r="F153" s="131"/>
      <c r="G153" s="131"/>
      <c r="H153" s="20">
        <f>F153+G153</f>
        <v>0</v>
      </c>
      <c r="I153" s="20">
        <f>F153*$E153</f>
        <v>0</v>
      </c>
      <c r="J153" s="20">
        <f>G153*$E153</f>
        <v>0</v>
      </c>
      <c r="K153" s="20">
        <f>I153+J153</f>
        <v>0</v>
      </c>
      <c r="L153" s="119"/>
    </row>
    <row r="154" spans="1:12" s="14" customFormat="1" ht="17.25" customHeight="1">
      <c r="A154" s="73"/>
      <c r="B154" s="89" t="s">
        <v>166</v>
      </c>
      <c r="C154" s="87" t="s">
        <v>41</v>
      </c>
      <c r="D154" s="87" t="s">
        <v>27</v>
      </c>
      <c r="E154" s="88">
        <f>31.9+20.2+31.9</f>
        <v>84</v>
      </c>
      <c r="F154" s="131"/>
      <c r="G154" s="131"/>
      <c r="H154" s="20">
        <f>F154+G154</f>
        <v>0</v>
      </c>
      <c r="I154" s="20">
        <f>F154*$E154</f>
        <v>0</v>
      </c>
      <c r="J154" s="20">
        <f>G154*$E154</f>
        <v>0</v>
      </c>
      <c r="K154" s="20">
        <f>I154+J154</f>
        <v>0</v>
      </c>
      <c r="L154" s="119"/>
    </row>
    <row r="155" spans="1:12" s="14" customFormat="1" ht="17.25" customHeight="1">
      <c r="A155" s="73"/>
      <c r="B155" s="86" t="s">
        <v>167</v>
      </c>
      <c r="C155" s="87" t="s">
        <v>57</v>
      </c>
      <c r="D155" s="87" t="s">
        <v>27</v>
      </c>
      <c r="E155" s="88">
        <f>6.3+6.3+6.3</f>
        <v>18.9</v>
      </c>
      <c r="F155" s="131"/>
      <c r="G155" s="131"/>
      <c r="H155" s="20">
        <f>F155+G155</f>
        <v>0</v>
      </c>
      <c r="I155" s="20">
        <f>F155*$E155</f>
        <v>0</v>
      </c>
      <c r="J155" s="20">
        <f>G155*$E155</f>
        <v>0</v>
      </c>
      <c r="K155" s="20">
        <f>I155+J155</f>
        <v>0</v>
      </c>
      <c r="L155" s="119"/>
    </row>
    <row r="156" spans="1:12" s="14" customFormat="1" ht="17.25" customHeight="1">
      <c r="A156" s="73"/>
      <c r="B156" s="86" t="s">
        <v>168</v>
      </c>
      <c r="C156" s="87"/>
      <c r="D156" s="87" t="s">
        <v>7</v>
      </c>
      <c r="E156" s="90">
        <f>8+8+8</f>
        <v>24</v>
      </c>
      <c r="F156" s="131"/>
      <c r="G156" s="131"/>
      <c r="H156" s="20">
        <f>F156+G156</f>
        <v>0</v>
      </c>
      <c r="I156" s="20">
        <f>F156*$E156</f>
        <v>0</v>
      </c>
      <c r="J156" s="20">
        <f>G156*$E156</f>
        <v>0</v>
      </c>
      <c r="K156" s="20">
        <f>I156+J156</f>
        <v>0</v>
      </c>
      <c r="L156" s="119"/>
    </row>
    <row r="157" spans="1:12" s="12" customFormat="1" ht="19.5" customHeight="1">
      <c r="A157" s="71" t="s">
        <v>169</v>
      </c>
      <c r="B157" s="23"/>
      <c r="C157" s="23"/>
      <c r="D157" s="23"/>
      <c r="E157" s="23"/>
      <c r="F157" s="24"/>
      <c r="G157" s="24"/>
      <c r="H157" s="24"/>
      <c r="I157" s="24"/>
      <c r="J157" s="24"/>
      <c r="K157" s="24"/>
      <c r="L157" s="76"/>
    </row>
    <row r="158" spans="1:16" s="14" customFormat="1" ht="18" customHeight="1">
      <c r="A158" s="73"/>
      <c r="B158" s="89" t="s">
        <v>115</v>
      </c>
      <c r="C158" s="87" t="s">
        <v>57</v>
      </c>
      <c r="D158" s="87" t="s">
        <v>27</v>
      </c>
      <c r="E158" s="88">
        <v>3944</v>
      </c>
      <c r="F158" s="131"/>
      <c r="G158" s="131"/>
      <c r="H158" s="20">
        <f>F158+G158</f>
        <v>0</v>
      </c>
      <c r="I158" s="20">
        <f>F158*$E158</f>
        <v>0</v>
      </c>
      <c r="J158" s="20">
        <f>G158*$E158</f>
        <v>0</v>
      </c>
      <c r="K158" s="20">
        <f>I158+J158</f>
        <v>0</v>
      </c>
      <c r="L158" s="119"/>
      <c r="P158" s="51"/>
    </row>
    <row r="159" spans="1:16" s="14" customFormat="1" ht="18" customHeight="1">
      <c r="A159" s="73"/>
      <c r="B159" s="89" t="s">
        <v>116</v>
      </c>
      <c r="C159" s="87" t="s">
        <v>6</v>
      </c>
      <c r="D159" s="87" t="s">
        <v>27</v>
      </c>
      <c r="E159" s="88">
        <v>4699</v>
      </c>
      <c r="F159" s="131"/>
      <c r="G159" s="131"/>
      <c r="H159" s="20">
        <f>F159+G159</f>
        <v>0</v>
      </c>
      <c r="I159" s="20">
        <f>F159*$E159</f>
        <v>0</v>
      </c>
      <c r="J159" s="20">
        <f>G159*$E159</f>
        <v>0</v>
      </c>
      <c r="K159" s="20">
        <f>I159+J159</f>
        <v>0</v>
      </c>
      <c r="L159" s="119"/>
      <c r="P159" s="51"/>
    </row>
    <row r="160" spans="1:16" s="14" customFormat="1" ht="18" customHeight="1">
      <c r="A160" s="73"/>
      <c r="B160" s="89" t="s">
        <v>117</v>
      </c>
      <c r="C160" s="87" t="s">
        <v>6</v>
      </c>
      <c r="D160" s="87" t="s">
        <v>27</v>
      </c>
      <c r="E160" s="88">
        <v>6072</v>
      </c>
      <c r="F160" s="131"/>
      <c r="G160" s="131"/>
      <c r="H160" s="20">
        <f>F160+G160</f>
        <v>0</v>
      </c>
      <c r="I160" s="20">
        <f>F160*$E160</f>
        <v>0</v>
      </c>
      <c r="J160" s="20">
        <f>G160*$E160</f>
        <v>0</v>
      </c>
      <c r="K160" s="20">
        <f>I160+J160</f>
        <v>0</v>
      </c>
      <c r="L160" s="119"/>
      <c r="P160" s="51"/>
    </row>
    <row r="161" spans="1:16" s="14" customFormat="1" ht="18" customHeight="1">
      <c r="A161" s="71" t="s">
        <v>121</v>
      </c>
      <c r="B161" s="52"/>
      <c r="C161" s="48"/>
      <c r="D161" s="48"/>
      <c r="E161" s="53"/>
      <c r="F161" s="50"/>
      <c r="G161" s="50"/>
      <c r="H161" s="34"/>
      <c r="I161" s="34"/>
      <c r="J161" s="34"/>
      <c r="K161" s="34"/>
      <c r="L161" s="118"/>
      <c r="P161" s="51"/>
    </row>
    <row r="162" spans="1:16" s="14" customFormat="1" ht="18" customHeight="1">
      <c r="A162" s="73"/>
      <c r="B162" s="89" t="s">
        <v>59</v>
      </c>
      <c r="C162" s="87" t="s">
        <v>57</v>
      </c>
      <c r="D162" s="87" t="s">
        <v>27</v>
      </c>
      <c r="E162" s="88">
        <f>87.61+87.61+114.98+76.66+60.23+60.23</f>
        <v>487.32000000000005</v>
      </c>
      <c r="F162" s="131"/>
      <c r="G162" s="131"/>
      <c r="H162" s="20">
        <f>F162+G162</f>
        <v>0</v>
      </c>
      <c r="I162" s="20">
        <f>F162*$E162</f>
        <v>0</v>
      </c>
      <c r="J162" s="20">
        <f>G162*$E162</f>
        <v>0</v>
      </c>
      <c r="K162" s="20">
        <f>I162+J162</f>
        <v>0</v>
      </c>
      <c r="L162" s="119"/>
      <c r="P162" s="51"/>
    </row>
    <row r="163" spans="1:16" s="14" customFormat="1" ht="18" customHeight="1">
      <c r="A163" s="73"/>
      <c r="B163" s="89" t="s">
        <v>58</v>
      </c>
      <c r="C163" s="87" t="s">
        <v>10</v>
      </c>
      <c r="D163" s="87" t="s">
        <v>27</v>
      </c>
      <c r="E163" s="88">
        <f>118.08+2314.37+1031.23+118.08+2314.37+1052.88+154.98+3037.61+1317.33+103.32+2025.07+943.66+81.18+1591.13+723.86+81.18+1591.13+723.86</f>
        <v>19323.32</v>
      </c>
      <c r="F163" s="131"/>
      <c r="G163" s="131"/>
      <c r="H163" s="20">
        <f aca="true" t="shared" si="32" ref="H163:H171">F163+G163</f>
        <v>0</v>
      </c>
      <c r="I163" s="20">
        <f aca="true" t="shared" si="33" ref="I163:I171">F163*$E163</f>
        <v>0</v>
      </c>
      <c r="J163" s="20">
        <f aca="true" t="shared" si="34" ref="J163:J171">G163*$E163</f>
        <v>0</v>
      </c>
      <c r="K163" s="20">
        <f aca="true" t="shared" si="35" ref="K163:K171">I163+J163</f>
        <v>0</v>
      </c>
      <c r="L163" s="119"/>
      <c r="P163" s="51"/>
    </row>
    <row r="164" spans="1:16" s="14" customFormat="1" ht="18" customHeight="1">
      <c r="A164" s="73"/>
      <c r="B164" s="89" t="s">
        <v>60</v>
      </c>
      <c r="C164" s="87" t="s">
        <v>68</v>
      </c>
      <c r="D164" s="87" t="s">
        <v>27</v>
      </c>
      <c r="E164" s="88">
        <f>70.45+55.35+55.35+80.51+80.51+105.67</f>
        <v>447.84000000000003</v>
      </c>
      <c r="F164" s="131"/>
      <c r="G164" s="131"/>
      <c r="H164" s="20">
        <f t="shared" si="32"/>
        <v>0</v>
      </c>
      <c r="I164" s="20">
        <f t="shared" si="33"/>
        <v>0</v>
      </c>
      <c r="J164" s="20">
        <f t="shared" si="34"/>
        <v>0</v>
      </c>
      <c r="K164" s="20">
        <f t="shared" si="35"/>
        <v>0</v>
      </c>
      <c r="L164" s="119"/>
      <c r="P164" s="51"/>
    </row>
    <row r="165" spans="1:16" s="14" customFormat="1" ht="18" customHeight="1">
      <c r="A165" s="73"/>
      <c r="B165" s="89" t="s">
        <v>61</v>
      </c>
      <c r="C165" s="87" t="s">
        <v>57</v>
      </c>
      <c r="D165" s="87" t="s">
        <v>27</v>
      </c>
      <c r="E165" s="88">
        <f>43.08+33.85+33.85+49.24+49.24+64.62</f>
        <v>273.88</v>
      </c>
      <c r="F165" s="131"/>
      <c r="G165" s="131"/>
      <c r="H165" s="20">
        <f t="shared" si="32"/>
        <v>0</v>
      </c>
      <c r="I165" s="20">
        <f t="shared" si="33"/>
        <v>0</v>
      </c>
      <c r="J165" s="20">
        <f t="shared" si="34"/>
        <v>0</v>
      </c>
      <c r="K165" s="20">
        <f t="shared" si="35"/>
        <v>0</v>
      </c>
      <c r="L165" s="119"/>
      <c r="P165" s="51"/>
    </row>
    <row r="166" spans="1:16" s="14" customFormat="1" ht="18" customHeight="1">
      <c r="A166" s="73"/>
      <c r="B166" s="89" t="s">
        <v>62</v>
      </c>
      <c r="C166" s="87" t="s">
        <v>41</v>
      </c>
      <c r="D166" s="87" t="s">
        <v>27</v>
      </c>
      <c r="E166" s="88">
        <f>215.01+84.12+83.08+168.24+122.86+50.05+124.88+117.3+173.86+160.59</f>
        <v>1299.99</v>
      </c>
      <c r="F166" s="131"/>
      <c r="G166" s="131"/>
      <c r="H166" s="20">
        <f t="shared" si="32"/>
        <v>0</v>
      </c>
      <c r="I166" s="20">
        <f t="shared" si="33"/>
        <v>0</v>
      </c>
      <c r="J166" s="20">
        <f t="shared" si="34"/>
        <v>0</v>
      </c>
      <c r="K166" s="20">
        <f t="shared" si="35"/>
        <v>0</v>
      </c>
      <c r="L166" s="119"/>
      <c r="P166" s="51"/>
    </row>
    <row r="167" spans="1:16" s="14" customFormat="1" ht="18" customHeight="1">
      <c r="A167" s="73"/>
      <c r="B167" s="89" t="s">
        <v>63</v>
      </c>
      <c r="C167" s="87"/>
      <c r="D167" s="87" t="s">
        <v>7</v>
      </c>
      <c r="E167" s="90">
        <f>154+121+121+176+176+231+16*16+16*16+16*21+16*14+16*11+16*11</f>
        <v>2403</v>
      </c>
      <c r="F167" s="131"/>
      <c r="G167" s="131"/>
      <c r="H167" s="20">
        <f t="shared" si="32"/>
        <v>0</v>
      </c>
      <c r="I167" s="20">
        <f t="shared" si="33"/>
        <v>0</v>
      </c>
      <c r="J167" s="20">
        <f t="shared" si="34"/>
        <v>0</v>
      </c>
      <c r="K167" s="20">
        <f t="shared" si="35"/>
        <v>0</v>
      </c>
      <c r="L167" s="119"/>
      <c r="P167" s="51"/>
    </row>
    <row r="168" spans="1:16" s="14" customFormat="1" ht="18" customHeight="1">
      <c r="A168" s="73"/>
      <c r="B168" s="89" t="s">
        <v>64</v>
      </c>
      <c r="C168" s="87" t="s">
        <v>69</v>
      </c>
      <c r="D168" s="87" t="s">
        <v>27</v>
      </c>
      <c r="E168" s="88">
        <f>35.16*16+35.9*38+34.22*21+36.77*14</f>
        <v>3160.1600000000003</v>
      </c>
      <c r="F168" s="131"/>
      <c r="G168" s="131"/>
      <c r="H168" s="20">
        <f t="shared" si="32"/>
        <v>0</v>
      </c>
      <c r="I168" s="20">
        <f t="shared" si="33"/>
        <v>0</v>
      </c>
      <c r="J168" s="20">
        <f t="shared" si="34"/>
        <v>0</v>
      </c>
      <c r="K168" s="20">
        <f t="shared" si="35"/>
        <v>0</v>
      </c>
      <c r="L168" s="119"/>
      <c r="P168" s="51"/>
    </row>
    <row r="169" spans="1:16" s="14" customFormat="1" ht="18" customHeight="1">
      <c r="A169" s="73"/>
      <c r="B169" s="89" t="s">
        <v>65</v>
      </c>
      <c r="C169" s="87" t="s">
        <v>69</v>
      </c>
      <c r="D169" s="87" t="s">
        <v>27</v>
      </c>
      <c r="E169" s="88">
        <f>32.93*16+32.93*38+32.93*21+32.93*14</f>
        <v>2930.77</v>
      </c>
      <c r="F169" s="131"/>
      <c r="G169" s="131"/>
      <c r="H169" s="20">
        <f t="shared" si="32"/>
        <v>0</v>
      </c>
      <c r="I169" s="20">
        <f t="shared" si="33"/>
        <v>0</v>
      </c>
      <c r="J169" s="20">
        <f t="shared" si="34"/>
        <v>0</v>
      </c>
      <c r="K169" s="20">
        <f t="shared" si="35"/>
        <v>0</v>
      </c>
      <c r="L169" s="119"/>
      <c r="P169" s="51"/>
    </row>
    <row r="170" spans="1:16" s="14" customFormat="1" ht="18" customHeight="1">
      <c r="A170" s="73"/>
      <c r="B170" s="89" t="s">
        <v>66</v>
      </c>
      <c r="C170" s="87" t="s">
        <v>69</v>
      </c>
      <c r="D170" s="87" t="s">
        <v>27</v>
      </c>
      <c r="E170" s="88">
        <f>28.73*16+29.37*38+27.93*21+30.23*14</f>
        <v>2585.49</v>
      </c>
      <c r="F170" s="131"/>
      <c r="G170" s="131"/>
      <c r="H170" s="20">
        <f t="shared" si="32"/>
        <v>0</v>
      </c>
      <c r="I170" s="20">
        <f t="shared" si="33"/>
        <v>0</v>
      </c>
      <c r="J170" s="20">
        <f t="shared" si="34"/>
        <v>0</v>
      </c>
      <c r="K170" s="20">
        <f t="shared" si="35"/>
        <v>0</v>
      </c>
      <c r="L170" s="119"/>
      <c r="P170" s="51"/>
    </row>
    <row r="171" spans="1:16" s="14" customFormat="1" ht="18" customHeight="1">
      <c r="A171" s="73"/>
      <c r="B171" s="89" t="s">
        <v>67</v>
      </c>
      <c r="C171" s="87" t="s">
        <v>57</v>
      </c>
      <c r="D171" s="87" t="s">
        <v>27</v>
      </c>
      <c r="E171" s="88">
        <f>16.32*16+16.32*38+16.32*21+16.32*14</f>
        <v>1452.48</v>
      </c>
      <c r="F171" s="131"/>
      <c r="G171" s="131"/>
      <c r="H171" s="20">
        <f t="shared" si="32"/>
        <v>0</v>
      </c>
      <c r="I171" s="20">
        <f t="shared" si="33"/>
        <v>0</v>
      </c>
      <c r="J171" s="20">
        <f t="shared" si="34"/>
        <v>0</v>
      </c>
      <c r="K171" s="20">
        <f t="shared" si="35"/>
        <v>0</v>
      </c>
      <c r="L171" s="119"/>
      <c r="P171" s="51"/>
    </row>
    <row r="172" spans="1:16" s="14" customFormat="1" ht="18" customHeight="1">
      <c r="A172" s="71" t="s">
        <v>122</v>
      </c>
      <c r="B172" s="52"/>
      <c r="C172" s="48"/>
      <c r="D172" s="48"/>
      <c r="E172" s="53"/>
      <c r="F172" s="50"/>
      <c r="G172" s="50"/>
      <c r="H172" s="34"/>
      <c r="I172" s="34"/>
      <c r="J172" s="34"/>
      <c r="K172" s="34"/>
      <c r="L172" s="118"/>
      <c r="P172" s="51"/>
    </row>
    <row r="173" spans="1:16" s="14" customFormat="1" ht="18" customHeight="1">
      <c r="A173" s="73"/>
      <c r="B173" s="89" t="s">
        <v>70</v>
      </c>
      <c r="C173" s="87" t="s">
        <v>34</v>
      </c>
      <c r="D173" s="87" t="s">
        <v>27</v>
      </c>
      <c r="E173" s="88">
        <f>470.6+1647.1</f>
        <v>2117.7</v>
      </c>
      <c r="F173" s="131"/>
      <c r="G173" s="131"/>
      <c r="H173" s="20">
        <f>F173+G173</f>
        <v>0</v>
      </c>
      <c r="I173" s="20">
        <f>F173*$E173</f>
        <v>0</v>
      </c>
      <c r="J173" s="20">
        <f>G173*$E173</f>
        <v>0</v>
      </c>
      <c r="K173" s="20">
        <f>I173+J173</f>
        <v>0</v>
      </c>
      <c r="L173" s="119"/>
      <c r="P173" s="51"/>
    </row>
    <row r="174" spans="1:16" s="14" customFormat="1" ht="18" customHeight="1">
      <c r="A174" s="73"/>
      <c r="B174" s="89" t="s">
        <v>72</v>
      </c>
      <c r="C174" s="87" t="s">
        <v>8</v>
      </c>
      <c r="D174" s="87" t="s">
        <v>27</v>
      </c>
      <c r="E174" s="88">
        <f>21.2+74.3</f>
        <v>95.5</v>
      </c>
      <c r="F174" s="131"/>
      <c r="G174" s="131"/>
      <c r="H174" s="20">
        <f aca="true" t="shared" si="36" ref="H174:H179">F174+G174</f>
        <v>0</v>
      </c>
      <c r="I174" s="20">
        <f aca="true" t="shared" si="37" ref="I174:I179">F174*$E174</f>
        <v>0</v>
      </c>
      <c r="J174" s="20">
        <f aca="true" t="shared" si="38" ref="J174:J179">G174*$E174</f>
        <v>0</v>
      </c>
      <c r="K174" s="20">
        <f aca="true" t="shared" si="39" ref="K174:K179">I174+J174</f>
        <v>0</v>
      </c>
      <c r="L174" s="119"/>
      <c r="P174" s="51"/>
    </row>
    <row r="175" spans="1:16" s="14" customFormat="1" ht="18" customHeight="1">
      <c r="A175" s="73"/>
      <c r="B175" s="89" t="s">
        <v>74</v>
      </c>
      <c r="C175" s="87" t="s">
        <v>79</v>
      </c>
      <c r="D175" s="87" t="s">
        <v>7</v>
      </c>
      <c r="E175" s="90">
        <f>16+56</f>
        <v>72</v>
      </c>
      <c r="F175" s="131"/>
      <c r="G175" s="131"/>
      <c r="H175" s="20">
        <f t="shared" si="36"/>
        <v>0</v>
      </c>
      <c r="I175" s="20">
        <f t="shared" si="37"/>
        <v>0</v>
      </c>
      <c r="J175" s="20">
        <f t="shared" si="38"/>
        <v>0</v>
      </c>
      <c r="K175" s="20">
        <f t="shared" si="39"/>
        <v>0</v>
      </c>
      <c r="L175" s="119"/>
      <c r="P175" s="51"/>
    </row>
    <row r="176" spans="1:16" s="14" customFormat="1" ht="18" customHeight="1">
      <c r="A176" s="73"/>
      <c r="B176" s="89" t="s">
        <v>75</v>
      </c>
      <c r="C176" s="87" t="s">
        <v>9</v>
      </c>
      <c r="D176" s="87" t="s">
        <v>27</v>
      </c>
      <c r="E176" s="88">
        <f>12.4+43.5</f>
        <v>55.9</v>
      </c>
      <c r="F176" s="131"/>
      <c r="G176" s="131"/>
      <c r="H176" s="20">
        <f t="shared" si="36"/>
        <v>0</v>
      </c>
      <c r="I176" s="20">
        <f t="shared" si="37"/>
        <v>0</v>
      </c>
      <c r="J176" s="20">
        <f t="shared" si="38"/>
        <v>0</v>
      </c>
      <c r="K176" s="20">
        <f t="shared" si="39"/>
        <v>0</v>
      </c>
      <c r="L176" s="119"/>
      <c r="P176" s="51"/>
    </row>
    <row r="177" spans="1:16" s="14" customFormat="1" ht="18" customHeight="1">
      <c r="A177" s="73"/>
      <c r="B177" s="89" t="s">
        <v>76</v>
      </c>
      <c r="C177" s="87" t="s">
        <v>80</v>
      </c>
      <c r="D177" s="87" t="s">
        <v>7</v>
      </c>
      <c r="E177" s="90">
        <f>4+14</f>
        <v>18</v>
      </c>
      <c r="F177" s="131"/>
      <c r="G177" s="131"/>
      <c r="H177" s="20">
        <f t="shared" si="36"/>
        <v>0</v>
      </c>
      <c r="I177" s="20">
        <f t="shared" si="37"/>
        <v>0</v>
      </c>
      <c r="J177" s="20">
        <f t="shared" si="38"/>
        <v>0</v>
      </c>
      <c r="K177" s="20">
        <f t="shared" si="39"/>
        <v>0</v>
      </c>
      <c r="L177" s="119"/>
      <c r="P177" s="51"/>
    </row>
    <row r="178" spans="1:16" s="14" customFormat="1" ht="18" customHeight="1">
      <c r="A178" s="73"/>
      <c r="B178" s="89" t="s">
        <v>77</v>
      </c>
      <c r="C178" s="87" t="s">
        <v>81</v>
      </c>
      <c r="D178" s="87" t="s">
        <v>7</v>
      </c>
      <c r="E178" s="90">
        <f>4+14</f>
        <v>18</v>
      </c>
      <c r="F178" s="131"/>
      <c r="G178" s="131"/>
      <c r="H178" s="20">
        <f t="shared" si="36"/>
        <v>0</v>
      </c>
      <c r="I178" s="20">
        <f t="shared" si="37"/>
        <v>0</v>
      </c>
      <c r="J178" s="20">
        <f t="shared" si="38"/>
        <v>0</v>
      </c>
      <c r="K178" s="20">
        <f t="shared" si="39"/>
        <v>0</v>
      </c>
      <c r="L178" s="119"/>
      <c r="P178" s="51"/>
    </row>
    <row r="179" spans="1:16" s="14" customFormat="1" ht="18" customHeight="1">
      <c r="A179" s="73"/>
      <c r="B179" s="89" t="s">
        <v>78</v>
      </c>
      <c r="C179" s="87" t="s">
        <v>82</v>
      </c>
      <c r="D179" s="87" t="s">
        <v>7</v>
      </c>
      <c r="E179" s="90">
        <f>8+28</f>
        <v>36</v>
      </c>
      <c r="F179" s="131"/>
      <c r="G179" s="131"/>
      <c r="H179" s="20">
        <f t="shared" si="36"/>
        <v>0</v>
      </c>
      <c r="I179" s="20">
        <f t="shared" si="37"/>
        <v>0</v>
      </c>
      <c r="J179" s="20">
        <f t="shared" si="38"/>
        <v>0</v>
      </c>
      <c r="K179" s="20">
        <f t="shared" si="39"/>
        <v>0</v>
      </c>
      <c r="L179" s="119"/>
      <c r="P179" s="51"/>
    </row>
    <row r="180" spans="1:16" s="14" customFormat="1" ht="18" customHeight="1">
      <c r="A180" s="71" t="s">
        <v>123</v>
      </c>
      <c r="B180" s="52"/>
      <c r="C180" s="48"/>
      <c r="D180" s="48"/>
      <c r="E180" s="53"/>
      <c r="F180" s="50"/>
      <c r="G180" s="50"/>
      <c r="H180" s="34"/>
      <c r="I180" s="34"/>
      <c r="J180" s="34"/>
      <c r="K180" s="34"/>
      <c r="L180" s="118"/>
      <c r="P180" s="51"/>
    </row>
    <row r="181" spans="1:16" s="14" customFormat="1" ht="18" customHeight="1">
      <c r="A181" s="73"/>
      <c r="B181" s="89" t="s">
        <v>83</v>
      </c>
      <c r="C181" s="87" t="s">
        <v>9</v>
      </c>
      <c r="D181" s="87" t="s">
        <v>27</v>
      </c>
      <c r="E181" s="88">
        <f>465.514+5139.583+2303.957+1499.317</f>
        <v>9408.371</v>
      </c>
      <c r="F181" s="131"/>
      <c r="G181" s="131"/>
      <c r="H181" s="20">
        <f>F181+G181</f>
        <v>0</v>
      </c>
      <c r="I181" s="20">
        <f>F181*$E181</f>
        <v>0</v>
      </c>
      <c r="J181" s="20">
        <f>G181*$E181</f>
        <v>0</v>
      </c>
      <c r="K181" s="20">
        <f>I181+J181</f>
        <v>0</v>
      </c>
      <c r="L181" s="119"/>
      <c r="P181" s="51"/>
    </row>
    <row r="182" spans="1:16" s="14" customFormat="1" ht="18" customHeight="1">
      <c r="A182" s="73"/>
      <c r="B182" s="89" t="s">
        <v>84</v>
      </c>
      <c r="C182" s="87" t="s">
        <v>8</v>
      </c>
      <c r="D182" s="87" t="s">
        <v>27</v>
      </c>
      <c r="E182" s="88">
        <f>259.198+23.738+382.217+183.973+171.15+87.323+86.193+62.737</f>
        <v>1256.529</v>
      </c>
      <c r="F182" s="131"/>
      <c r="G182" s="131"/>
      <c r="H182" s="20">
        <f>F182+G182</f>
        <v>0</v>
      </c>
      <c r="I182" s="20">
        <f>F182*$E182</f>
        <v>0</v>
      </c>
      <c r="J182" s="20">
        <f>G182*$E182</f>
        <v>0</v>
      </c>
      <c r="K182" s="20">
        <f>I182+J182</f>
        <v>0</v>
      </c>
      <c r="L182" s="119"/>
      <c r="P182" s="51"/>
    </row>
    <row r="183" spans="1:16" s="14" customFormat="1" ht="18" customHeight="1">
      <c r="A183" s="73"/>
      <c r="B183" s="89" t="s">
        <v>85</v>
      </c>
      <c r="C183" s="87"/>
      <c r="D183" s="87" t="s">
        <v>7</v>
      </c>
      <c r="E183" s="90">
        <f>26+644+266+148</f>
        <v>1084</v>
      </c>
      <c r="F183" s="131"/>
      <c r="G183" s="131"/>
      <c r="H183" s="20">
        <f>F183+G183</f>
        <v>0</v>
      </c>
      <c r="I183" s="20">
        <f>F183*$E183</f>
        <v>0</v>
      </c>
      <c r="J183" s="20">
        <f>G183*$E183</f>
        <v>0</v>
      </c>
      <c r="K183" s="20">
        <f>I183+J183</f>
        <v>0</v>
      </c>
      <c r="L183" s="119"/>
      <c r="P183" s="51"/>
    </row>
    <row r="184" spans="1:16" s="14" customFormat="1" ht="18" customHeight="1">
      <c r="A184" s="71" t="s">
        <v>124</v>
      </c>
      <c r="B184" s="52"/>
      <c r="C184" s="48"/>
      <c r="D184" s="48"/>
      <c r="E184" s="53"/>
      <c r="F184" s="50"/>
      <c r="G184" s="50"/>
      <c r="H184" s="34"/>
      <c r="I184" s="34"/>
      <c r="J184" s="34"/>
      <c r="K184" s="34"/>
      <c r="L184" s="118"/>
      <c r="P184" s="51"/>
    </row>
    <row r="185" spans="1:16" s="14" customFormat="1" ht="18" customHeight="1">
      <c r="A185" s="73"/>
      <c r="B185" s="89" t="s">
        <v>86</v>
      </c>
      <c r="C185" s="87" t="s">
        <v>10</v>
      </c>
      <c r="D185" s="87" t="s">
        <v>27</v>
      </c>
      <c r="E185" s="88">
        <f>218.55+225.6</f>
        <v>444.15</v>
      </c>
      <c r="F185" s="131"/>
      <c r="G185" s="131"/>
      <c r="H185" s="20">
        <f>F185+G185</f>
        <v>0</v>
      </c>
      <c r="I185" s="20">
        <f>F185*$E185</f>
        <v>0</v>
      </c>
      <c r="J185" s="20">
        <f>G185*$E185</f>
        <v>0</v>
      </c>
      <c r="K185" s="20">
        <f>I185+J185</f>
        <v>0</v>
      </c>
      <c r="L185" s="119"/>
      <c r="P185" s="51"/>
    </row>
    <row r="186" spans="1:16" s="14" customFormat="1" ht="18" customHeight="1">
      <c r="A186" s="73"/>
      <c r="B186" s="89" t="s">
        <v>30</v>
      </c>
      <c r="C186" s="87" t="s">
        <v>9</v>
      </c>
      <c r="D186" s="87" t="s">
        <v>27</v>
      </c>
      <c r="E186" s="88">
        <v>154.56</v>
      </c>
      <c r="F186" s="131"/>
      <c r="G186" s="131"/>
      <c r="H186" s="20">
        <f aca="true" t="shared" si="40" ref="H186:H191">F186+G186</f>
        <v>0</v>
      </c>
      <c r="I186" s="20">
        <f aca="true" t="shared" si="41" ref="I186:I191">F186*$E186</f>
        <v>0</v>
      </c>
      <c r="J186" s="20">
        <f aca="true" t="shared" si="42" ref="J186:J191">G186*$E186</f>
        <v>0</v>
      </c>
      <c r="K186" s="20">
        <f aca="true" t="shared" si="43" ref="K186:K191">I186+J186</f>
        <v>0</v>
      </c>
      <c r="L186" s="119"/>
      <c r="P186" s="51"/>
    </row>
    <row r="187" spans="1:16" s="14" customFormat="1" ht="18" customHeight="1">
      <c r="A187" s="73"/>
      <c r="B187" s="89" t="s">
        <v>87</v>
      </c>
      <c r="C187" s="87" t="s">
        <v>9</v>
      </c>
      <c r="D187" s="87" t="s">
        <v>27</v>
      </c>
      <c r="E187" s="88">
        <f>1474.36+790.96</f>
        <v>2265.3199999999997</v>
      </c>
      <c r="F187" s="131"/>
      <c r="G187" s="131"/>
      <c r="H187" s="20">
        <f t="shared" si="40"/>
        <v>0</v>
      </c>
      <c r="I187" s="20">
        <f t="shared" si="41"/>
        <v>0</v>
      </c>
      <c r="J187" s="20">
        <f t="shared" si="42"/>
        <v>0</v>
      </c>
      <c r="K187" s="20">
        <f t="shared" si="43"/>
        <v>0</v>
      </c>
      <c r="L187" s="119"/>
      <c r="P187" s="51"/>
    </row>
    <row r="188" spans="1:16" s="14" customFormat="1" ht="18" customHeight="1">
      <c r="A188" s="73"/>
      <c r="B188" s="89" t="s">
        <v>73</v>
      </c>
      <c r="C188" s="87" t="s">
        <v>8</v>
      </c>
      <c r="D188" s="87" t="s">
        <v>27</v>
      </c>
      <c r="E188" s="88">
        <f>157.48+81.28</f>
        <v>238.76</v>
      </c>
      <c r="F188" s="131"/>
      <c r="G188" s="131"/>
      <c r="H188" s="20">
        <f t="shared" si="40"/>
        <v>0</v>
      </c>
      <c r="I188" s="20">
        <f t="shared" si="41"/>
        <v>0</v>
      </c>
      <c r="J188" s="20">
        <f t="shared" si="42"/>
        <v>0</v>
      </c>
      <c r="K188" s="20">
        <f t="shared" si="43"/>
        <v>0</v>
      </c>
      <c r="L188" s="119"/>
      <c r="P188" s="51"/>
    </row>
    <row r="189" spans="1:16" s="14" customFormat="1" ht="18" customHeight="1">
      <c r="A189" s="73"/>
      <c r="B189" s="89" t="s">
        <v>88</v>
      </c>
      <c r="C189" s="87" t="s">
        <v>80</v>
      </c>
      <c r="D189" s="87" t="s">
        <v>7</v>
      </c>
      <c r="E189" s="90">
        <f>310+160</f>
        <v>470</v>
      </c>
      <c r="F189" s="131"/>
      <c r="G189" s="131"/>
      <c r="H189" s="20">
        <f t="shared" si="40"/>
        <v>0</v>
      </c>
      <c r="I189" s="20">
        <f t="shared" si="41"/>
        <v>0</v>
      </c>
      <c r="J189" s="20">
        <f t="shared" si="42"/>
        <v>0</v>
      </c>
      <c r="K189" s="20">
        <f t="shared" si="43"/>
        <v>0</v>
      </c>
      <c r="L189" s="119"/>
      <c r="P189" s="51"/>
    </row>
    <row r="190" spans="1:16" s="14" customFormat="1" ht="18" customHeight="1">
      <c r="A190" s="73"/>
      <c r="B190" s="89" t="s">
        <v>89</v>
      </c>
      <c r="C190" s="87" t="s">
        <v>81</v>
      </c>
      <c r="D190" s="87" t="s">
        <v>7</v>
      </c>
      <c r="E190" s="90">
        <f>310+160</f>
        <v>470</v>
      </c>
      <c r="F190" s="131"/>
      <c r="G190" s="131"/>
      <c r="H190" s="20">
        <f t="shared" si="40"/>
        <v>0</v>
      </c>
      <c r="I190" s="20">
        <f t="shared" si="41"/>
        <v>0</v>
      </c>
      <c r="J190" s="20">
        <f t="shared" si="42"/>
        <v>0</v>
      </c>
      <c r="K190" s="20">
        <f t="shared" si="43"/>
        <v>0</v>
      </c>
      <c r="L190" s="119"/>
      <c r="P190" s="51"/>
    </row>
    <row r="191" spans="1:16" s="14" customFormat="1" ht="18" customHeight="1">
      <c r="A191" s="73"/>
      <c r="B191" s="89" t="s">
        <v>90</v>
      </c>
      <c r="C191" s="87" t="s">
        <v>82</v>
      </c>
      <c r="D191" s="87" t="s">
        <v>7</v>
      </c>
      <c r="E191" s="90">
        <f>620+320</f>
        <v>940</v>
      </c>
      <c r="F191" s="131"/>
      <c r="G191" s="131"/>
      <c r="H191" s="20">
        <f t="shared" si="40"/>
        <v>0</v>
      </c>
      <c r="I191" s="20">
        <f t="shared" si="41"/>
        <v>0</v>
      </c>
      <c r="J191" s="20">
        <f t="shared" si="42"/>
        <v>0</v>
      </c>
      <c r="K191" s="20">
        <f t="shared" si="43"/>
        <v>0</v>
      </c>
      <c r="L191" s="119"/>
      <c r="P191" s="51"/>
    </row>
    <row r="192" spans="1:16" s="14" customFormat="1" ht="18" customHeight="1">
      <c r="A192" s="71" t="s">
        <v>125</v>
      </c>
      <c r="B192" s="52"/>
      <c r="C192" s="48"/>
      <c r="D192" s="48"/>
      <c r="E192" s="53"/>
      <c r="F192" s="50"/>
      <c r="G192" s="50"/>
      <c r="H192" s="34"/>
      <c r="I192" s="34"/>
      <c r="J192" s="34"/>
      <c r="K192" s="34"/>
      <c r="L192" s="118"/>
      <c r="P192" s="51"/>
    </row>
    <row r="193" spans="1:16" s="14" customFormat="1" ht="18" customHeight="1">
      <c r="A193" s="73"/>
      <c r="B193" s="89" t="s">
        <v>119</v>
      </c>
      <c r="C193" s="87" t="s">
        <v>99</v>
      </c>
      <c r="D193" s="87" t="s">
        <v>27</v>
      </c>
      <c r="E193" s="88">
        <f>337.92+173.54+322.65+260.79+280.28+210.96+308.68+209.3+318.04+147.53+109.36</f>
        <v>2679.0500000000006</v>
      </c>
      <c r="F193" s="131"/>
      <c r="G193" s="131"/>
      <c r="H193" s="20">
        <f>F193+G193</f>
        <v>0</v>
      </c>
      <c r="I193" s="20">
        <f>F193*$E193</f>
        <v>0</v>
      </c>
      <c r="J193" s="20">
        <f>G193*$E193</f>
        <v>0</v>
      </c>
      <c r="K193" s="20">
        <f>I193+J193</f>
        <v>0</v>
      </c>
      <c r="L193" s="119"/>
      <c r="P193" s="51"/>
    </row>
    <row r="194" spans="1:16" s="14" customFormat="1" ht="18" customHeight="1">
      <c r="A194" s="73"/>
      <c r="B194" s="89" t="s">
        <v>93</v>
      </c>
      <c r="C194" s="87"/>
      <c r="D194" s="87" t="s">
        <v>7</v>
      </c>
      <c r="E194" s="90">
        <f>428+248+436+364+372+292+392+312+468+204+156</f>
        <v>3672</v>
      </c>
      <c r="F194" s="131"/>
      <c r="G194" s="131"/>
      <c r="H194" s="20">
        <f aca="true" t="shared" si="44" ref="H194:H201">F194+G194</f>
        <v>0</v>
      </c>
      <c r="I194" s="20">
        <f aca="true" t="shared" si="45" ref="I194:I201">F194*$E194</f>
        <v>0</v>
      </c>
      <c r="J194" s="20">
        <f aca="true" t="shared" si="46" ref="J194:J201">G194*$E194</f>
        <v>0</v>
      </c>
      <c r="K194" s="20">
        <f aca="true" t="shared" si="47" ref="K194:K201">I194+J194</f>
        <v>0</v>
      </c>
      <c r="L194" s="119"/>
      <c r="P194" s="51"/>
    </row>
    <row r="195" spans="1:16" s="14" customFormat="1" ht="18" customHeight="1">
      <c r="A195" s="73"/>
      <c r="B195" s="89" t="s">
        <v>94</v>
      </c>
      <c r="C195" s="87" t="s">
        <v>95</v>
      </c>
      <c r="D195" s="87" t="s">
        <v>27</v>
      </c>
      <c r="E195" s="88">
        <f>6.74+3.91+6.87+5.73+5.86+4.6+6.17+4.91+7.37+3.21+2.46</f>
        <v>57.830000000000005</v>
      </c>
      <c r="F195" s="131"/>
      <c r="G195" s="131"/>
      <c r="H195" s="20">
        <f t="shared" si="44"/>
        <v>0</v>
      </c>
      <c r="I195" s="20">
        <f t="shared" si="45"/>
        <v>0</v>
      </c>
      <c r="J195" s="20">
        <f t="shared" si="46"/>
        <v>0</v>
      </c>
      <c r="K195" s="20">
        <f t="shared" si="47"/>
        <v>0</v>
      </c>
      <c r="L195" s="119"/>
      <c r="P195" s="51"/>
    </row>
    <row r="196" spans="1:16" s="14" customFormat="1" ht="18" customHeight="1">
      <c r="A196" s="73"/>
      <c r="B196" s="89" t="s">
        <v>96</v>
      </c>
      <c r="C196" s="87" t="s">
        <v>95</v>
      </c>
      <c r="D196" s="87" t="s">
        <v>27</v>
      </c>
      <c r="E196" s="88">
        <f>150.87+87.42+153.69+128.31+131.13+102.93+138.18+109.98+164.97+71.91+54.99</f>
        <v>1294.38</v>
      </c>
      <c r="F196" s="131"/>
      <c r="G196" s="131"/>
      <c r="H196" s="20">
        <f t="shared" si="44"/>
        <v>0</v>
      </c>
      <c r="I196" s="20">
        <f t="shared" si="45"/>
        <v>0</v>
      </c>
      <c r="J196" s="20">
        <f t="shared" si="46"/>
        <v>0</v>
      </c>
      <c r="K196" s="20">
        <f t="shared" si="47"/>
        <v>0</v>
      </c>
      <c r="L196" s="119"/>
      <c r="P196" s="51"/>
    </row>
    <row r="197" spans="1:16" s="14" customFormat="1" ht="18" customHeight="1">
      <c r="A197" s="73"/>
      <c r="B197" s="89" t="s">
        <v>97</v>
      </c>
      <c r="C197" s="87" t="s">
        <v>99</v>
      </c>
      <c r="D197" s="87" t="s">
        <v>27</v>
      </c>
      <c r="E197" s="88">
        <f>358.92+196.66+345.75+323.79+355.51+258.88+377.22+443.59+494.1+261.32+199.84</f>
        <v>3615.580000000001</v>
      </c>
      <c r="F197" s="131"/>
      <c r="G197" s="131"/>
      <c r="H197" s="20">
        <f t="shared" si="44"/>
        <v>0</v>
      </c>
      <c r="I197" s="20">
        <f t="shared" si="45"/>
        <v>0</v>
      </c>
      <c r="J197" s="20">
        <f t="shared" si="46"/>
        <v>0</v>
      </c>
      <c r="K197" s="20">
        <f t="shared" si="47"/>
        <v>0</v>
      </c>
      <c r="L197" s="119"/>
      <c r="P197" s="51"/>
    </row>
    <row r="198" spans="1:16" s="14" customFormat="1" ht="18" customHeight="1">
      <c r="A198" s="73"/>
      <c r="B198" s="89" t="s">
        <v>98</v>
      </c>
      <c r="C198" s="87" t="s">
        <v>99</v>
      </c>
      <c r="D198" s="87" t="s">
        <v>27</v>
      </c>
      <c r="E198" s="88">
        <f>4.4+2.55+4.49+3.75+3.83+3+4.03+3.21+4.82+2.1+1.61</f>
        <v>37.790000000000006</v>
      </c>
      <c r="F198" s="131"/>
      <c r="G198" s="131"/>
      <c r="H198" s="20">
        <f t="shared" si="44"/>
        <v>0</v>
      </c>
      <c r="I198" s="20">
        <f t="shared" si="45"/>
        <v>0</v>
      </c>
      <c r="J198" s="20">
        <f t="shared" si="46"/>
        <v>0</v>
      </c>
      <c r="K198" s="20">
        <f t="shared" si="47"/>
        <v>0</v>
      </c>
      <c r="L198" s="119"/>
      <c r="P198" s="51"/>
    </row>
    <row r="199" spans="1:16" s="14" customFormat="1" ht="18" customHeight="1">
      <c r="A199" s="73"/>
      <c r="B199" s="89" t="s">
        <v>100</v>
      </c>
      <c r="C199" s="87" t="s">
        <v>95</v>
      </c>
      <c r="D199" s="87" t="s">
        <v>27</v>
      </c>
      <c r="E199" s="88">
        <f>7.28+7.28+7.28+3.36+6.72</f>
        <v>31.919999999999998</v>
      </c>
      <c r="F199" s="131"/>
      <c r="G199" s="131"/>
      <c r="H199" s="20">
        <f t="shared" si="44"/>
        <v>0</v>
      </c>
      <c r="I199" s="20">
        <f t="shared" si="45"/>
        <v>0</v>
      </c>
      <c r="J199" s="20">
        <f t="shared" si="46"/>
        <v>0</v>
      </c>
      <c r="K199" s="20">
        <f t="shared" si="47"/>
        <v>0</v>
      </c>
      <c r="L199" s="119"/>
      <c r="P199" s="51"/>
    </row>
    <row r="200" spans="1:16" s="14" customFormat="1" ht="18" customHeight="1">
      <c r="A200" s="73"/>
      <c r="B200" s="89" t="s">
        <v>101</v>
      </c>
      <c r="C200" s="87"/>
      <c r="D200" s="87" t="s">
        <v>7</v>
      </c>
      <c r="E200" s="90">
        <f>52+52+52+24+48</f>
        <v>228</v>
      </c>
      <c r="F200" s="131"/>
      <c r="G200" s="131"/>
      <c r="H200" s="20">
        <f t="shared" si="44"/>
        <v>0</v>
      </c>
      <c r="I200" s="20">
        <f t="shared" si="45"/>
        <v>0</v>
      </c>
      <c r="J200" s="20">
        <f t="shared" si="46"/>
        <v>0</v>
      </c>
      <c r="K200" s="20">
        <f t="shared" si="47"/>
        <v>0</v>
      </c>
      <c r="L200" s="119"/>
      <c r="P200" s="51"/>
    </row>
    <row r="201" spans="1:16" s="14" customFormat="1" ht="18" customHeight="1">
      <c r="A201" s="73"/>
      <c r="B201" s="89" t="s">
        <v>102</v>
      </c>
      <c r="C201" s="87" t="s">
        <v>103</v>
      </c>
      <c r="D201" s="87" t="s">
        <v>27</v>
      </c>
      <c r="E201" s="88">
        <f>426.63+741.4+707.33+305.13+737.69</f>
        <v>2918.1800000000003</v>
      </c>
      <c r="F201" s="131"/>
      <c r="G201" s="131"/>
      <c r="H201" s="20">
        <f t="shared" si="44"/>
        <v>0</v>
      </c>
      <c r="I201" s="20">
        <f t="shared" si="45"/>
        <v>0</v>
      </c>
      <c r="J201" s="20">
        <f t="shared" si="46"/>
        <v>0</v>
      </c>
      <c r="K201" s="20">
        <f t="shared" si="47"/>
        <v>0</v>
      </c>
      <c r="L201" s="119"/>
      <c r="P201" s="51"/>
    </row>
    <row r="202" spans="1:12" s="14" customFormat="1" ht="18" customHeight="1">
      <c r="A202" s="71" t="s">
        <v>126</v>
      </c>
      <c r="B202" s="52"/>
      <c r="C202" s="48"/>
      <c r="D202" s="48"/>
      <c r="E202" s="53"/>
      <c r="F202" s="50"/>
      <c r="G202" s="50"/>
      <c r="H202" s="34"/>
      <c r="I202" s="34"/>
      <c r="J202" s="34"/>
      <c r="K202" s="34"/>
      <c r="L202" s="118"/>
    </row>
    <row r="203" spans="1:12" s="14" customFormat="1" ht="15">
      <c r="A203" s="73"/>
      <c r="B203" s="86" t="s">
        <v>104</v>
      </c>
      <c r="C203" s="87"/>
      <c r="D203" s="87" t="s">
        <v>11</v>
      </c>
      <c r="E203" s="88">
        <f>10.35+20.13+29.99+9.09</f>
        <v>69.56</v>
      </c>
      <c r="F203" s="131"/>
      <c r="G203" s="131"/>
      <c r="H203" s="20">
        <f>F203+G203</f>
        <v>0</v>
      </c>
      <c r="I203" s="20">
        <f>F203*$E203</f>
        <v>0</v>
      </c>
      <c r="J203" s="20">
        <f>G203*$E203</f>
        <v>0</v>
      </c>
      <c r="K203" s="20">
        <f>I203+J203</f>
        <v>0</v>
      </c>
      <c r="L203" s="119"/>
    </row>
    <row r="204" spans="1:12" s="14" customFormat="1" ht="18" customHeight="1">
      <c r="A204" s="71" t="s">
        <v>127</v>
      </c>
      <c r="B204" s="52"/>
      <c r="C204" s="48"/>
      <c r="D204" s="48"/>
      <c r="E204" s="53"/>
      <c r="F204" s="53"/>
      <c r="G204" s="53"/>
      <c r="H204" s="34"/>
      <c r="I204" s="34"/>
      <c r="J204" s="34"/>
      <c r="K204" s="34"/>
      <c r="L204" s="118"/>
    </row>
    <row r="205" spans="1:12" s="14" customFormat="1" ht="18" customHeight="1">
      <c r="A205" s="73"/>
      <c r="B205" s="89" t="s">
        <v>105</v>
      </c>
      <c r="C205" s="87"/>
      <c r="D205" s="87" t="s">
        <v>7</v>
      </c>
      <c r="E205" s="90">
        <v>312</v>
      </c>
      <c r="F205" s="131"/>
      <c r="G205" s="131"/>
      <c r="H205" s="20">
        <f>F205+G205</f>
        <v>0</v>
      </c>
      <c r="I205" s="20">
        <f>F205*$E205</f>
        <v>0</v>
      </c>
      <c r="J205" s="20">
        <f>G205*$E205</f>
        <v>0</v>
      </c>
      <c r="K205" s="20">
        <f>I205+J205</f>
        <v>0</v>
      </c>
      <c r="L205" s="119"/>
    </row>
    <row r="206" spans="1:12" s="14" customFormat="1" ht="18" customHeight="1">
      <c r="A206" s="73"/>
      <c r="B206" s="89" t="s">
        <v>106</v>
      </c>
      <c r="C206" s="87"/>
      <c r="D206" s="87" t="s">
        <v>11</v>
      </c>
      <c r="E206" s="88">
        <v>168.9</v>
      </c>
      <c r="F206" s="131"/>
      <c r="G206" s="131"/>
      <c r="H206" s="20">
        <f>F206+G206</f>
        <v>0</v>
      </c>
      <c r="I206" s="20">
        <f>F206*$E206</f>
        <v>0</v>
      </c>
      <c r="J206" s="20">
        <f>G206*$E206</f>
        <v>0</v>
      </c>
      <c r="K206" s="20">
        <f>I206+J206</f>
        <v>0</v>
      </c>
      <c r="L206" s="119"/>
    </row>
    <row r="207" spans="1:12" s="14" customFormat="1" ht="18" customHeight="1">
      <c r="A207" s="73"/>
      <c r="B207" s="89" t="s">
        <v>107</v>
      </c>
      <c r="C207" s="87"/>
      <c r="D207" s="87" t="s">
        <v>7</v>
      </c>
      <c r="E207" s="90">
        <v>156</v>
      </c>
      <c r="F207" s="131"/>
      <c r="G207" s="131"/>
      <c r="H207" s="20">
        <f>F207+G207</f>
        <v>0</v>
      </c>
      <c r="I207" s="20">
        <f>F207*$E207</f>
        <v>0</v>
      </c>
      <c r="J207" s="20">
        <f>G207*$E207</f>
        <v>0</v>
      </c>
      <c r="K207" s="20">
        <f>I207+J207</f>
        <v>0</v>
      </c>
      <c r="L207" s="119"/>
    </row>
    <row r="208" spans="1:12" s="14" customFormat="1" ht="18" customHeight="1">
      <c r="A208" s="73"/>
      <c r="B208" s="89" t="s">
        <v>108</v>
      </c>
      <c r="C208" s="87"/>
      <c r="D208" s="87" t="s">
        <v>27</v>
      </c>
      <c r="E208" s="88">
        <v>346.5</v>
      </c>
      <c r="F208" s="131"/>
      <c r="G208" s="131"/>
      <c r="H208" s="20">
        <f>F208+G208</f>
        <v>0</v>
      </c>
      <c r="I208" s="20">
        <f>F208*$E208</f>
        <v>0</v>
      </c>
      <c r="J208" s="20">
        <f>G208*$E208</f>
        <v>0</v>
      </c>
      <c r="K208" s="20">
        <f>I208+J208</f>
        <v>0</v>
      </c>
      <c r="L208" s="119"/>
    </row>
    <row r="209" spans="1:12" s="14" customFormat="1" ht="18" customHeight="1">
      <c r="A209" s="73"/>
      <c r="B209" s="89" t="s">
        <v>109</v>
      </c>
      <c r="C209" s="87"/>
      <c r="D209" s="87" t="s">
        <v>27</v>
      </c>
      <c r="E209" s="88">
        <v>297.2</v>
      </c>
      <c r="F209" s="131"/>
      <c r="G209" s="131"/>
      <c r="H209" s="20">
        <f>F209+G209</f>
        <v>0</v>
      </c>
      <c r="I209" s="20">
        <f>F209*$E209</f>
        <v>0</v>
      </c>
      <c r="J209" s="20">
        <f>G209*$E209</f>
        <v>0</v>
      </c>
      <c r="K209" s="20">
        <f>I209+J209</f>
        <v>0</v>
      </c>
      <c r="L209" s="119"/>
    </row>
    <row r="210" spans="1:12" s="14" customFormat="1" ht="18" customHeight="1">
      <c r="A210" s="73"/>
      <c r="B210" s="89" t="s">
        <v>110</v>
      </c>
      <c r="C210" s="87"/>
      <c r="D210" s="87" t="s">
        <v>27</v>
      </c>
      <c r="E210" s="88">
        <v>712.4</v>
      </c>
      <c r="F210" s="131"/>
      <c r="G210" s="131"/>
      <c r="H210" s="20">
        <f>F210+G210</f>
        <v>0</v>
      </c>
      <c r="I210" s="20">
        <f>F210*$E210</f>
        <v>0</v>
      </c>
      <c r="J210" s="20">
        <f>G210*$E210</f>
        <v>0</v>
      </c>
      <c r="K210" s="20">
        <f>I210+J210</f>
        <v>0</v>
      </c>
      <c r="L210" s="119"/>
    </row>
    <row r="211" spans="1:12" s="14" customFormat="1" ht="18" customHeight="1">
      <c r="A211" s="71" t="s">
        <v>170</v>
      </c>
      <c r="B211" s="52"/>
      <c r="C211" s="48"/>
      <c r="D211" s="48"/>
      <c r="E211" s="53"/>
      <c r="F211" s="50"/>
      <c r="G211" s="50"/>
      <c r="H211" s="34"/>
      <c r="I211" s="34"/>
      <c r="J211" s="34"/>
      <c r="K211" s="34"/>
      <c r="L211" s="118"/>
    </row>
    <row r="212" spans="1:12" s="14" customFormat="1" ht="18" customHeight="1">
      <c r="A212" s="73"/>
      <c r="B212" s="89" t="s">
        <v>171</v>
      </c>
      <c r="C212" s="87"/>
      <c r="D212" s="87" t="s">
        <v>7</v>
      </c>
      <c r="E212" s="90">
        <v>18</v>
      </c>
      <c r="F212" s="131"/>
      <c r="G212" s="131"/>
      <c r="H212" s="20">
        <f>F212+G212</f>
        <v>0</v>
      </c>
      <c r="I212" s="20">
        <f>F212*$E212</f>
        <v>0</v>
      </c>
      <c r="J212" s="20">
        <f>G212*$E212</f>
        <v>0</v>
      </c>
      <c r="K212" s="20">
        <f>I212+J212</f>
        <v>0</v>
      </c>
      <c r="L212" s="119"/>
    </row>
    <row r="213" spans="1:12" s="14" customFormat="1" ht="18" customHeight="1">
      <c r="A213" s="73"/>
      <c r="B213" s="89" t="s">
        <v>172</v>
      </c>
      <c r="C213" s="87"/>
      <c r="D213" s="87" t="s">
        <v>7</v>
      </c>
      <c r="E213" s="90">
        <v>9</v>
      </c>
      <c r="F213" s="131"/>
      <c r="G213" s="131"/>
      <c r="H213" s="20">
        <f aca="true" t="shared" si="48" ref="H213:H219">F213+G213</f>
        <v>0</v>
      </c>
      <c r="I213" s="20">
        <f aca="true" t="shared" si="49" ref="I213:I219">F213*$E213</f>
        <v>0</v>
      </c>
      <c r="J213" s="20">
        <f aca="true" t="shared" si="50" ref="J213:J219">G213*$E213</f>
        <v>0</v>
      </c>
      <c r="K213" s="20">
        <f aca="true" t="shared" si="51" ref="K213:K219">I213+J213</f>
        <v>0</v>
      </c>
      <c r="L213" s="119"/>
    </row>
    <row r="214" spans="1:12" s="14" customFormat="1" ht="18" customHeight="1">
      <c r="A214" s="73"/>
      <c r="B214" s="89" t="s">
        <v>173</v>
      </c>
      <c r="C214" s="87" t="s">
        <v>99</v>
      </c>
      <c r="D214" s="87" t="s">
        <v>27</v>
      </c>
      <c r="E214" s="88">
        <f>20.1*1.7</f>
        <v>34.17</v>
      </c>
      <c r="F214" s="131"/>
      <c r="G214" s="131"/>
      <c r="H214" s="20">
        <f t="shared" si="48"/>
        <v>0</v>
      </c>
      <c r="I214" s="20">
        <f t="shared" si="49"/>
        <v>0</v>
      </c>
      <c r="J214" s="20">
        <f t="shared" si="50"/>
        <v>0</v>
      </c>
      <c r="K214" s="20">
        <f t="shared" si="51"/>
        <v>0</v>
      </c>
      <c r="L214" s="119"/>
    </row>
    <row r="215" spans="1:12" s="14" customFormat="1" ht="18" customHeight="1">
      <c r="A215" s="73"/>
      <c r="B215" s="89" t="s">
        <v>174</v>
      </c>
      <c r="C215" s="87" t="s">
        <v>99</v>
      </c>
      <c r="D215" s="87" t="s">
        <v>27</v>
      </c>
      <c r="E215" s="88">
        <f>1.3*0.5</f>
        <v>0.65</v>
      </c>
      <c r="F215" s="131"/>
      <c r="G215" s="131"/>
      <c r="H215" s="20">
        <f t="shared" si="48"/>
        <v>0</v>
      </c>
      <c r="I215" s="20">
        <f t="shared" si="49"/>
        <v>0</v>
      </c>
      <c r="J215" s="20">
        <f t="shared" si="50"/>
        <v>0</v>
      </c>
      <c r="K215" s="20">
        <f t="shared" si="51"/>
        <v>0</v>
      </c>
      <c r="L215" s="119"/>
    </row>
    <row r="216" spans="1:12" s="14" customFormat="1" ht="18" customHeight="1">
      <c r="A216" s="73"/>
      <c r="B216" s="89" t="s">
        <v>175</v>
      </c>
      <c r="C216" s="87" t="s">
        <v>95</v>
      </c>
      <c r="D216" s="87" t="s">
        <v>7</v>
      </c>
      <c r="E216" s="90">
        <v>6</v>
      </c>
      <c r="F216" s="131"/>
      <c r="G216" s="131"/>
      <c r="H216" s="20">
        <f t="shared" si="48"/>
        <v>0</v>
      </c>
      <c r="I216" s="20">
        <f t="shared" si="49"/>
        <v>0</v>
      </c>
      <c r="J216" s="20">
        <f t="shared" si="50"/>
        <v>0</v>
      </c>
      <c r="K216" s="20">
        <f t="shared" si="51"/>
        <v>0</v>
      </c>
      <c r="L216" s="119"/>
    </row>
    <row r="217" spans="1:12" s="14" customFormat="1" ht="18" customHeight="1">
      <c r="A217" s="73"/>
      <c r="B217" s="89" t="s">
        <v>176</v>
      </c>
      <c r="C217" s="87"/>
      <c r="D217" s="87" t="s">
        <v>7</v>
      </c>
      <c r="E217" s="90">
        <v>5</v>
      </c>
      <c r="F217" s="131"/>
      <c r="G217" s="131"/>
      <c r="H217" s="20">
        <f t="shared" si="48"/>
        <v>0</v>
      </c>
      <c r="I217" s="20">
        <f t="shared" si="49"/>
        <v>0</v>
      </c>
      <c r="J217" s="20">
        <f t="shared" si="50"/>
        <v>0</v>
      </c>
      <c r="K217" s="20">
        <f t="shared" si="51"/>
        <v>0</v>
      </c>
      <c r="L217" s="119"/>
    </row>
    <row r="218" spans="1:12" s="14" customFormat="1" ht="18" customHeight="1">
      <c r="A218" s="73"/>
      <c r="B218" s="89" t="s">
        <v>101</v>
      </c>
      <c r="C218" s="87"/>
      <c r="D218" s="87" t="s">
        <v>7</v>
      </c>
      <c r="E218" s="90">
        <v>20</v>
      </c>
      <c r="F218" s="131"/>
      <c r="G218" s="131"/>
      <c r="H218" s="20">
        <f t="shared" si="48"/>
        <v>0</v>
      </c>
      <c r="I218" s="20">
        <f t="shared" si="49"/>
        <v>0</v>
      </c>
      <c r="J218" s="20">
        <f t="shared" si="50"/>
        <v>0</v>
      </c>
      <c r="K218" s="20">
        <f t="shared" si="51"/>
        <v>0</v>
      </c>
      <c r="L218" s="119"/>
    </row>
    <row r="219" spans="1:12" s="14" customFormat="1" ht="18" customHeight="1">
      <c r="A219" s="73"/>
      <c r="B219" s="89" t="s">
        <v>177</v>
      </c>
      <c r="C219" s="87"/>
      <c r="D219" s="87" t="s">
        <v>7</v>
      </c>
      <c r="E219" s="90">
        <v>4</v>
      </c>
      <c r="F219" s="131"/>
      <c r="G219" s="131"/>
      <c r="H219" s="20">
        <f t="shared" si="48"/>
        <v>0</v>
      </c>
      <c r="I219" s="20">
        <f t="shared" si="49"/>
        <v>0</v>
      </c>
      <c r="J219" s="20">
        <f t="shared" si="50"/>
        <v>0</v>
      </c>
      <c r="K219" s="20">
        <f t="shared" si="51"/>
        <v>0</v>
      </c>
      <c r="L219" s="119"/>
    </row>
    <row r="220" spans="1:12" s="14" customFormat="1" ht="18" customHeight="1">
      <c r="A220" s="71" t="s">
        <v>178</v>
      </c>
      <c r="B220" s="52"/>
      <c r="C220" s="48"/>
      <c r="D220" s="48"/>
      <c r="E220" s="53"/>
      <c r="F220" s="50"/>
      <c r="G220" s="50"/>
      <c r="H220" s="34"/>
      <c r="I220" s="34"/>
      <c r="J220" s="34"/>
      <c r="K220" s="34"/>
      <c r="L220" s="118"/>
    </row>
    <row r="221" spans="1:12" s="14" customFormat="1" ht="30.75">
      <c r="A221" s="73"/>
      <c r="B221" s="86" t="s">
        <v>111</v>
      </c>
      <c r="C221" s="87"/>
      <c r="D221" s="87" t="s">
        <v>7</v>
      </c>
      <c r="E221" s="91">
        <v>21</v>
      </c>
      <c r="F221" s="131"/>
      <c r="G221" s="131"/>
      <c r="H221" s="20">
        <f>F221+G221</f>
        <v>0</v>
      </c>
      <c r="I221" s="20">
        <f>F221*$E221</f>
        <v>0</v>
      </c>
      <c r="J221" s="20">
        <f>G221*$E221</f>
        <v>0</v>
      </c>
      <c r="K221" s="20">
        <f>I221+J221</f>
        <v>0</v>
      </c>
      <c r="L221" s="119"/>
    </row>
    <row r="222" spans="1:12" s="14" customFormat="1" ht="30.75">
      <c r="A222" s="73"/>
      <c r="B222" s="86" t="s">
        <v>112</v>
      </c>
      <c r="C222" s="87"/>
      <c r="D222" s="87" t="s">
        <v>7</v>
      </c>
      <c r="E222" s="91">
        <v>9</v>
      </c>
      <c r="F222" s="131"/>
      <c r="G222" s="131"/>
      <c r="H222" s="20">
        <f>F222+G222</f>
        <v>0</v>
      </c>
      <c r="I222" s="20">
        <f>F222*$E222</f>
        <v>0</v>
      </c>
      <c r="J222" s="20">
        <f>G222*$E222</f>
        <v>0</v>
      </c>
      <c r="K222" s="20">
        <f>I222+J222</f>
        <v>0</v>
      </c>
      <c r="L222" s="119"/>
    </row>
    <row r="223" spans="1:12" s="14" customFormat="1" ht="18" customHeight="1">
      <c r="A223" s="73"/>
      <c r="B223" s="89" t="s">
        <v>113</v>
      </c>
      <c r="C223" s="87"/>
      <c r="D223" s="87" t="s">
        <v>27</v>
      </c>
      <c r="E223" s="91">
        <v>391.2</v>
      </c>
      <c r="F223" s="131"/>
      <c r="G223" s="131"/>
      <c r="H223" s="20">
        <f>F223+G223</f>
        <v>0</v>
      </c>
      <c r="I223" s="20">
        <f>F223*$E223</f>
        <v>0</v>
      </c>
      <c r="J223" s="20">
        <f>G223*$E223</f>
        <v>0</v>
      </c>
      <c r="K223" s="20">
        <f>I223+J223</f>
        <v>0</v>
      </c>
      <c r="L223" s="119"/>
    </row>
    <row r="224" spans="1:12" s="14" customFormat="1" ht="18" customHeight="1">
      <c r="A224" s="73"/>
      <c r="B224" s="89" t="s">
        <v>114</v>
      </c>
      <c r="C224" s="87"/>
      <c r="D224" s="87" t="s">
        <v>27</v>
      </c>
      <c r="E224" s="91">
        <v>744.8</v>
      </c>
      <c r="F224" s="131"/>
      <c r="G224" s="131"/>
      <c r="H224" s="20">
        <f>F224+G224</f>
        <v>0</v>
      </c>
      <c r="I224" s="20">
        <f>F224*$E224</f>
        <v>0</v>
      </c>
      <c r="J224" s="20">
        <f>G224*$E224</f>
        <v>0</v>
      </c>
      <c r="K224" s="20">
        <f>I224+J224</f>
        <v>0</v>
      </c>
      <c r="L224" s="119"/>
    </row>
    <row r="225" spans="1:12" s="14" customFormat="1" ht="18" customHeight="1">
      <c r="A225" s="71" t="s">
        <v>179</v>
      </c>
      <c r="B225" s="52"/>
      <c r="C225" s="48"/>
      <c r="D225" s="48"/>
      <c r="E225" s="53"/>
      <c r="F225" s="50"/>
      <c r="G225" s="50"/>
      <c r="H225" s="34"/>
      <c r="I225" s="34"/>
      <c r="J225" s="34"/>
      <c r="K225" s="34"/>
      <c r="L225" s="118"/>
    </row>
    <row r="226" spans="1:12" s="14" customFormat="1" ht="18" customHeight="1">
      <c r="A226" s="73"/>
      <c r="B226" s="89" t="s">
        <v>118</v>
      </c>
      <c r="C226" s="87"/>
      <c r="D226" s="87" t="s">
        <v>11</v>
      </c>
      <c r="E226" s="91">
        <f>4.18+3.28+3.28+4.78+5.22+7.76</f>
        <v>28.5</v>
      </c>
      <c r="F226" s="131"/>
      <c r="G226" s="131"/>
      <c r="H226" s="20">
        <f>F226+G226</f>
        <v>0</v>
      </c>
      <c r="I226" s="20">
        <f>F226*$E226</f>
        <v>0</v>
      </c>
      <c r="J226" s="20">
        <f>G226*$E226</f>
        <v>0</v>
      </c>
      <c r="K226" s="20">
        <f>I226+J226</f>
        <v>0</v>
      </c>
      <c r="L226" s="119"/>
    </row>
    <row r="227" spans="1:12" s="12" customFormat="1" ht="19.5" customHeight="1" hidden="1">
      <c r="A227" s="71" t="s">
        <v>14</v>
      </c>
      <c r="B227" s="23"/>
      <c r="C227" s="23"/>
      <c r="D227" s="23"/>
      <c r="E227" s="23"/>
      <c r="F227" s="24"/>
      <c r="G227" s="24"/>
      <c r="H227" s="24"/>
      <c r="I227" s="24"/>
      <c r="J227" s="24"/>
      <c r="K227" s="24"/>
      <c r="L227" s="76"/>
    </row>
    <row r="228" spans="1:12" s="14" customFormat="1" ht="33" customHeight="1" hidden="1">
      <c r="A228" s="73"/>
      <c r="B228" s="35" t="s">
        <v>12</v>
      </c>
      <c r="C228" s="39" t="s">
        <v>19</v>
      </c>
      <c r="D228" s="39"/>
      <c r="E228" s="40"/>
      <c r="F228" s="21"/>
      <c r="G228" s="21"/>
      <c r="H228" s="20"/>
      <c r="I228" s="20"/>
      <c r="J228" s="20"/>
      <c r="K228" s="20"/>
      <c r="L228" s="119"/>
    </row>
    <row r="229" spans="1:12" s="12" customFormat="1" ht="19.5" customHeight="1" hidden="1">
      <c r="A229" s="71" t="s">
        <v>15</v>
      </c>
      <c r="B229" s="23"/>
      <c r="C229" s="23"/>
      <c r="D229" s="23"/>
      <c r="E229" s="23"/>
      <c r="F229" s="24"/>
      <c r="G229" s="24"/>
      <c r="H229" s="24"/>
      <c r="I229" s="24"/>
      <c r="J229" s="24"/>
      <c r="K229" s="24"/>
      <c r="L229" s="76"/>
    </row>
    <row r="230" spans="1:12" s="14" customFormat="1" ht="33" customHeight="1" hidden="1">
      <c r="A230" s="73"/>
      <c r="B230" s="35" t="s">
        <v>13</v>
      </c>
      <c r="C230" s="39" t="s">
        <v>19</v>
      </c>
      <c r="D230" s="39"/>
      <c r="E230" s="40"/>
      <c r="F230" s="21"/>
      <c r="G230" s="21"/>
      <c r="H230" s="20"/>
      <c r="I230" s="20"/>
      <c r="J230" s="20"/>
      <c r="K230" s="20"/>
      <c r="L230" s="119"/>
    </row>
    <row r="231" spans="1:12" s="12" customFormat="1" ht="19.5" customHeight="1" hidden="1">
      <c r="A231" s="71" t="s">
        <v>16</v>
      </c>
      <c r="B231" s="23"/>
      <c r="C231" s="23"/>
      <c r="D231" s="23"/>
      <c r="E231" s="23"/>
      <c r="F231" s="24"/>
      <c r="G231" s="24"/>
      <c r="H231" s="24"/>
      <c r="I231" s="24"/>
      <c r="J231" s="24"/>
      <c r="K231" s="24"/>
      <c r="L231" s="76"/>
    </row>
    <row r="232" spans="1:12" s="14" customFormat="1" ht="33" customHeight="1" hidden="1">
      <c r="A232" s="73"/>
      <c r="B232" s="35" t="s">
        <v>17</v>
      </c>
      <c r="C232" s="39" t="s">
        <v>19</v>
      </c>
      <c r="D232" s="39"/>
      <c r="E232" s="40"/>
      <c r="F232" s="21"/>
      <c r="G232" s="21"/>
      <c r="H232" s="20"/>
      <c r="I232" s="20"/>
      <c r="J232" s="20"/>
      <c r="K232" s="20"/>
      <c r="L232" s="119"/>
    </row>
    <row r="233" spans="1:12" s="12" customFormat="1" ht="19.5" customHeight="1" hidden="1">
      <c r="A233" s="71" t="s">
        <v>18</v>
      </c>
      <c r="B233" s="23"/>
      <c r="C233" s="23"/>
      <c r="D233" s="23"/>
      <c r="E233" s="23"/>
      <c r="F233" s="24"/>
      <c r="G233" s="24"/>
      <c r="H233" s="24"/>
      <c r="I233" s="24"/>
      <c r="J233" s="24"/>
      <c r="K233" s="24"/>
      <c r="L233" s="76"/>
    </row>
    <row r="234" spans="1:12" s="14" customFormat="1" ht="22.5" customHeight="1" hidden="1">
      <c r="A234" s="73"/>
      <c r="B234" s="35"/>
      <c r="C234" s="39" t="s">
        <v>19</v>
      </c>
      <c r="D234" s="39"/>
      <c r="E234" s="40"/>
      <c r="F234" s="21"/>
      <c r="G234" s="21"/>
      <c r="H234" s="20"/>
      <c r="I234" s="20"/>
      <c r="J234" s="20"/>
      <c r="K234" s="20"/>
      <c r="L234" s="119"/>
    </row>
    <row r="235" spans="1:12" s="14" customFormat="1" ht="18" customHeight="1" hidden="1">
      <c r="A235" s="73"/>
      <c r="B235" s="35"/>
      <c r="C235" s="18"/>
      <c r="D235" s="18"/>
      <c r="E235" s="38"/>
      <c r="F235" s="21"/>
      <c r="G235" s="21"/>
      <c r="H235" s="20"/>
      <c r="I235" s="20"/>
      <c r="J235" s="20"/>
      <c r="K235" s="20"/>
      <c r="L235" s="119"/>
    </row>
    <row r="236" spans="1:12" s="14" customFormat="1" ht="18" customHeight="1" hidden="1">
      <c r="A236" s="73"/>
      <c r="B236" s="35"/>
      <c r="C236" s="18"/>
      <c r="D236" s="18"/>
      <c r="E236" s="38"/>
      <c r="F236" s="21"/>
      <c r="G236" s="21"/>
      <c r="H236" s="20"/>
      <c r="I236" s="20"/>
      <c r="J236" s="20"/>
      <c r="K236" s="20"/>
      <c r="L236" s="119"/>
    </row>
    <row r="237" spans="1:12" s="14" customFormat="1" ht="18" customHeight="1" hidden="1">
      <c r="A237" s="73"/>
      <c r="B237" s="35"/>
      <c r="C237" s="18"/>
      <c r="D237" s="18"/>
      <c r="E237" s="38"/>
      <c r="F237" s="21"/>
      <c r="G237" s="21"/>
      <c r="H237" s="20"/>
      <c r="I237" s="20"/>
      <c r="J237" s="20"/>
      <c r="K237" s="20"/>
      <c r="L237" s="119"/>
    </row>
    <row r="238" spans="1:12" s="17" customFormat="1" ht="21" customHeight="1" thickBot="1">
      <c r="A238" s="120"/>
      <c r="B238" s="121" t="s">
        <v>182</v>
      </c>
      <c r="C238" s="122"/>
      <c r="D238" s="123"/>
      <c r="E238" s="124"/>
      <c r="F238" s="125"/>
      <c r="G238" s="126"/>
      <c r="H238" s="126">
        <f>SUM(H121:H237)</f>
        <v>0</v>
      </c>
      <c r="I238" s="126">
        <f>SUM(I121:I237)</f>
        <v>0</v>
      </c>
      <c r="J238" s="126">
        <f>SUM(J121:J237)</f>
        <v>0</v>
      </c>
      <c r="K238" s="126">
        <f>SUM(K121:K237)</f>
        <v>0</v>
      </c>
      <c r="L238" s="127"/>
    </row>
    <row r="239" spans="1:12" ht="18" thickBot="1">
      <c r="A239" s="136"/>
      <c r="B239" s="137" t="s">
        <v>183</v>
      </c>
      <c r="C239" s="137"/>
      <c r="D239" s="137"/>
      <c r="E239" s="137"/>
      <c r="F239" s="138"/>
      <c r="G239" s="138"/>
      <c r="H239" s="139">
        <f>H238+H118</f>
        <v>0</v>
      </c>
      <c r="I239" s="139">
        <f>I238+I118</f>
        <v>0</v>
      </c>
      <c r="J239" s="139">
        <f>J238+J118</f>
        <v>0</v>
      </c>
      <c r="K239" s="139">
        <f>K238+K118</f>
        <v>0</v>
      </c>
      <c r="L239" s="140"/>
    </row>
    <row r="240" spans="1:12" ht="19.5">
      <c r="A240" s="143" t="s">
        <v>142</v>
      </c>
      <c r="B240" s="144"/>
      <c r="C240" s="144"/>
      <c r="D240" s="144"/>
      <c r="E240" s="144"/>
      <c r="F240" s="145"/>
      <c r="G240" s="145"/>
      <c r="H240" s="146"/>
      <c r="I240" s="147"/>
      <c r="J240" s="147"/>
      <c r="K240" s="147"/>
      <c r="L240" s="148"/>
    </row>
    <row r="241" spans="1:12" ht="13.5" customHeight="1">
      <c r="A241" s="77" t="s">
        <v>143</v>
      </c>
      <c r="B241" s="78"/>
      <c r="C241" s="78"/>
      <c r="D241" s="78"/>
      <c r="E241" s="78"/>
      <c r="F241" s="154" t="s">
        <v>186</v>
      </c>
      <c r="G241" s="155"/>
      <c r="H241" s="141"/>
      <c r="I241" s="142"/>
      <c r="J241" s="142"/>
      <c r="K241" s="142"/>
      <c r="L241" s="149"/>
    </row>
    <row r="242" spans="1:12" ht="13.5" customHeight="1">
      <c r="A242" s="77" t="s">
        <v>192</v>
      </c>
      <c r="B242" s="78"/>
      <c r="C242" s="78"/>
      <c r="D242" s="78"/>
      <c r="E242" s="78"/>
      <c r="F242" s="154" t="s">
        <v>187</v>
      </c>
      <c r="G242" s="155"/>
      <c r="H242" s="141"/>
      <c r="I242" s="142"/>
      <c r="J242" s="142"/>
      <c r="K242" s="142"/>
      <c r="L242" s="149"/>
    </row>
    <row r="243" spans="1:12" ht="13.5" customHeight="1">
      <c r="A243" s="77" t="s">
        <v>144</v>
      </c>
      <c r="B243" s="78"/>
      <c r="C243" s="78"/>
      <c r="D243" s="78"/>
      <c r="E243" s="78"/>
      <c r="F243" s="154" t="s">
        <v>188</v>
      </c>
      <c r="G243" s="155"/>
      <c r="H243" s="141"/>
      <c r="I243" s="142"/>
      <c r="J243" s="142"/>
      <c r="K243" s="142"/>
      <c r="L243" s="149"/>
    </row>
    <row r="244" spans="1:12" ht="13.5" customHeight="1">
      <c r="A244" s="77" t="s">
        <v>193</v>
      </c>
      <c r="B244" s="78"/>
      <c r="C244" s="78"/>
      <c r="D244" s="78"/>
      <c r="E244" s="78"/>
      <c r="F244" s="154" t="s">
        <v>188</v>
      </c>
      <c r="G244" s="155"/>
      <c r="H244" s="141"/>
      <c r="I244" s="142"/>
      <c r="J244" s="142"/>
      <c r="K244" s="142"/>
      <c r="L244" s="149"/>
    </row>
    <row r="245" spans="1:12" ht="13.5" customHeight="1">
      <c r="A245" s="77" t="s">
        <v>194</v>
      </c>
      <c r="B245" s="78"/>
      <c r="C245" s="78"/>
      <c r="D245" s="78"/>
      <c r="E245" s="78"/>
      <c r="F245" s="154" t="s">
        <v>188</v>
      </c>
      <c r="G245" s="155"/>
      <c r="H245" s="141"/>
      <c r="I245" s="142"/>
      <c r="J245" s="142"/>
      <c r="K245" s="142"/>
      <c r="L245" s="149"/>
    </row>
    <row r="246" spans="1:12" ht="13.5" customHeight="1">
      <c r="A246" s="77" t="s">
        <v>195</v>
      </c>
      <c r="B246" s="78"/>
      <c r="C246" s="78"/>
      <c r="D246" s="78"/>
      <c r="E246" s="78"/>
      <c r="F246" s="154" t="s">
        <v>188</v>
      </c>
      <c r="G246" s="155"/>
      <c r="H246" s="141"/>
      <c r="I246" s="142"/>
      <c r="J246" s="142"/>
      <c r="K246" s="142"/>
      <c r="L246" s="149"/>
    </row>
    <row r="247" spans="1:12" ht="13.5" customHeight="1">
      <c r="A247" s="77" t="s">
        <v>196</v>
      </c>
      <c r="B247" s="78"/>
      <c r="C247" s="78"/>
      <c r="D247" s="78"/>
      <c r="E247" s="78"/>
      <c r="F247" s="154" t="s">
        <v>188</v>
      </c>
      <c r="G247" s="155"/>
      <c r="H247" s="141"/>
      <c r="I247" s="142"/>
      <c r="J247" s="142"/>
      <c r="K247" s="142"/>
      <c r="L247" s="149"/>
    </row>
    <row r="248" spans="1:12" ht="13.5" customHeight="1">
      <c r="A248" s="77" t="s">
        <v>145</v>
      </c>
      <c r="B248" s="78"/>
      <c r="C248" s="78"/>
      <c r="D248" s="78"/>
      <c r="E248" s="78"/>
      <c r="F248" s="154" t="s">
        <v>188</v>
      </c>
      <c r="G248" s="155"/>
      <c r="H248" s="141"/>
      <c r="I248" s="142"/>
      <c r="J248" s="142"/>
      <c r="K248" s="142"/>
      <c r="L248" s="149"/>
    </row>
    <row r="249" spans="1:12" ht="13.5" customHeight="1">
      <c r="A249" s="77" t="s">
        <v>185</v>
      </c>
      <c r="B249" s="78"/>
      <c r="C249" s="78"/>
      <c r="D249" s="78"/>
      <c r="E249" s="78"/>
      <c r="F249" s="154"/>
      <c r="G249" s="155"/>
      <c r="H249" s="141"/>
      <c r="I249" s="142"/>
      <c r="J249" s="142"/>
      <c r="K249" s="142"/>
      <c r="L249" s="149"/>
    </row>
    <row r="250" spans="1:12" ht="13.5" customHeight="1">
      <c r="A250" s="77" t="s">
        <v>146</v>
      </c>
      <c r="B250" s="78"/>
      <c r="C250" s="78"/>
      <c r="D250" s="78"/>
      <c r="E250" s="78"/>
      <c r="F250" s="154"/>
      <c r="G250" s="155"/>
      <c r="H250" s="141"/>
      <c r="I250" s="142"/>
      <c r="J250" s="142"/>
      <c r="K250" s="142"/>
      <c r="L250" s="149"/>
    </row>
    <row r="251" spans="1:12" ht="13.5" customHeight="1">
      <c r="A251" s="77" t="s">
        <v>147</v>
      </c>
      <c r="B251" s="78"/>
      <c r="C251" s="78"/>
      <c r="D251" s="78"/>
      <c r="E251" s="78"/>
      <c r="F251" s="154" t="s">
        <v>189</v>
      </c>
      <c r="G251" s="155"/>
      <c r="H251" s="141"/>
      <c r="I251" s="142"/>
      <c r="J251" s="142"/>
      <c r="K251" s="142"/>
      <c r="L251" s="149"/>
    </row>
    <row r="252" spans="1:12" ht="13.5" customHeight="1">
      <c r="A252" s="77" t="s">
        <v>148</v>
      </c>
      <c r="B252" s="78"/>
      <c r="C252" s="78"/>
      <c r="D252" s="78"/>
      <c r="E252" s="78"/>
      <c r="F252" s="154" t="s">
        <v>190</v>
      </c>
      <c r="G252" s="155"/>
      <c r="H252" s="141"/>
      <c r="I252" s="142"/>
      <c r="J252" s="142"/>
      <c r="K252" s="142"/>
      <c r="L252" s="149"/>
    </row>
    <row r="253" spans="1:12" ht="13.5" customHeight="1">
      <c r="A253" s="77" t="s">
        <v>149</v>
      </c>
      <c r="B253" s="78"/>
      <c r="C253" s="78"/>
      <c r="D253" s="78"/>
      <c r="E253" s="78"/>
      <c r="F253" s="154" t="s">
        <v>191</v>
      </c>
      <c r="G253" s="155"/>
      <c r="H253" s="141"/>
      <c r="I253" s="142"/>
      <c r="J253" s="142"/>
      <c r="K253" s="142"/>
      <c r="L253" s="149"/>
    </row>
    <row r="254" spans="1:12" ht="13.5" customHeight="1">
      <c r="A254" s="77" t="s">
        <v>150</v>
      </c>
      <c r="B254" s="78"/>
      <c r="C254" s="78"/>
      <c r="D254" s="78"/>
      <c r="E254" s="78"/>
      <c r="F254" s="154"/>
      <c r="G254" s="155"/>
      <c r="H254" s="141"/>
      <c r="I254" s="142"/>
      <c r="J254" s="142"/>
      <c r="K254" s="142"/>
      <c r="L254" s="149"/>
    </row>
    <row r="255" spans="1:12" ht="13.5" customHeight="1">
      <c r="A255" s="77" t="s">
        <v>151</v>
      </c>
      <c r="B255" s="78"/>
      <c r="C255" s="78"/>
      <c r="D255" s="78"/>
      <c r="E255" s="78"/>
      <c r="F255" s="154"/>
      <c r="G255" s="155"/>
      <c r="H255" s="141"/>
      <c r="I255" s="142"/>
      <c r="J255" s="142"/>
      <c r="K255" s="142"/>
      <c r="L255" s="149"/>
    </row>
    <row r="256" spans="1:12" ht="13.5" customHeight="1" thickBot="1">
      <c r="A256" s="79" t="s">
        <v>152</v>
      </c>
      <c r="B256" s="80"/>
      <c r="C256" s="80"/>
      <c r="D256" s="80"/>
      <c r="E256" s="80"/>
      <c r="F256" s="150"/>
      <c r="G256" s="151"/>
      <c r="H256" s="150"/>
      <c r="I256" s="152"/>
      <c r="J256" s="152"/>
      <c r="K256" s="152"/>
      <c r="L256" s="153"/>
    </row>
    <row r="257" spans="1:4" ht="12.75">
      <c r="A257" s="81"/>
      <c r="B257" s="81"/>
      <c r="C257" s="81"/>
      <c r="D257" s="81"/>
    </row>
    <row r="258" spans="1:4" ht="19.5">
      <c r="A258" s="82" t="s">
        <v>153</v>
      </c>
      <c r="B258"/>
      <c r="C258"/>
      <c r="D258"/>
    </row>
    <row r="259" spans="1:4" ht="13.5">
      <c r="A259" s="83" t="s">
        <v>154</v>
      </c>
      <c r="B259" s="84"/>
      <c r="C259"/>
      <c r="D259"/>
    </row>
    <row r="260" spans="1:4" ht="13.5">
      <c r="A260" s="83" t="s">
        <v>155</v>
      </c>
      <c r="B260"/>
      <c r="C260"/>
      <c r="D260"/>
    </row>
    <row r="261" spans="1:4" ht="24.75">
      <c r="A261" s="85" t="s">
        <v>156</v>
      </c>
      <c r="B261" s="85"/>
      <c r="C261" s="85"/>
      <c r="D261" s="85"/>
    </row>
  </sheetData>
  <sheetProtection selectLockedCells="1" selectUnlockedCells="1"/>
  <mergeCells count="68">
    <mergeCell ref="A255:E255"/>
    <mergeCell ref="A256:E256"/>
    <mergeCell ref="H240:L240"/>
    <mergeCell ref="H241:L241"/>
    <mergeCell ref="H242:L242"/>
    <mergeCell ref="H243:L243"/>
    <mergeCell ref="H244:L244"/>
    <mergeCell ref="H245:L245"/>
    <mergeCell ref="H246:L246"/>
    <mergeCell ref="H247:L247"/>
    <mergeCell ref="A246:E246"/>
    <mergeCell ref="A247:E247"/>
    <mergeCell ref="A248:E248"/>
    <mergeCell ref="A249:E249"/>
    <mergeCell ref="A250:E250"/>
    <mergeCell ref="A251:E251"/>
    <mergeCell ref="A261:D261"/>
    <mergeCell ref="A6:A8"/>
    <mergeCell ref="B6:B8"/>
    <mergeCell ref="C6:C8"/>
    <mergeCell ref="D6:D8"/>
    <mergeCell ref="A119:E119"/>
    <mergeCell ref="A240:E240"/>
    <mergeCell ref="A241:E241"/>
    <mergeCell ref="A252:E252"/>
    <mergeCell ref="A253:E253"/>
    <mergeCell ref="A254:E254"/>
    <mergeCell ref="H248:L248"/>
    <mergeCell ref="H249:L249"/>
    <mergeCell ref="H250:L250"/>
    <mergeCell ref="H251:L251"/>
    <mergeCell ref="H252:L252"/>
    <mergeCell ref="H253:L253"/>
    <mergeCell ref="H254:L254"/>
    <mergeCell ref="A9:E9"/>
    <mergeCell ref="A242:E242"/>
    <mergeCell ref="A243:E243"/>
    <mergeCell ref="A244:E244"/>
    <mergeCell ref="A245:E245"/>
    <mergeCell ref="H255:L255"/>
    <mergeCell ref="F241:G241"/>
    <mergeCell ref="F242:G242"/>
    <mergeCell ref="F243:G243"/>
    <mergeCell ref="F244:G244"/>
    <mergeCell ref="P1:V1"/>
    <mergeCell ref="B1:C1"/>
    <mergeCell ref="F6:L6"/>
    <mergeCell ref="F7:G7"/>
    <mergeCell ref="H7:H8"/>
    <mergeCell ref="I7:J7"/>
    <mergeCell ref="K7:K8"/>
    <mergeCell ref="L7:L8"/>
    <mergeCell ref="E6:E8"/>
    <mergeCell ref="D1:E1"/>
    <mergeCell ref="A3:K3"/>
    <mergeCell ref="H256:L256"/>
    <mergeCell ref="F245:G245"/>
    <mergeCell ref="F246:G246"/>
    <mergeCell ref="F247:G247"/>
    <mergeCell ref="F248:G248"/>
    <mergeCell ref="F249:G249"/>
    <mergeCell ref="F250:G250"/>
    <mergeCell ref="F251:G251"/>
    <mergeCell ref="F252:G252"/>
    <mergeCell ref="F253:G253"/>
    <mergeCell ref="F254:G254"/>
    <mergeCell ref="F255:G255"/>
    <mergeCell ref="F256:G256"/>
  </mergeCells>
  <printOptions/>
  <pageMargins left="0.5511811023622047" right="0.15748031496062992" top="0.31496062992125984" bottom="0.31496062992125984" header="0.5118110236220472" footer="0.5118110236220472"/>
  <pageSetup fitToHeight="0" fitToWidth="1" horizontalDpi="300" verticalDpi="300" orientation="portrait" paperSize="9" scale="5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Аникин Вячеслав</dc:creator>
  <cp:keywords/>
  <dc:description/>
  <cp:lastModifiedBy>Елизарова Лидия Владимировна</cp:lastModifiedBy>
  <cp:lastPrinted>2020-04-17T12:00:06Z</cp:lastPrinted>
  <dcterms:created xsi:type="dcterms:W3CDTF">2019-05-14T12:28:57Z</dcterms:created>
  <dcterms:modified xsi:type="dcterms:W3CDTF">2020-09-14T09:43:17Z</dcterms:modified>
  <cp:category/>
  <cp:version/>
  <cp:contentType/>
  <cp:contentStatus/>
</cp:coreProperties>
</file>