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Римский, Развилка\02693 Фасад к.8 секц. 8-23\На рассылку\"/>
    </mc:Choice>
  </mc:AlternateContent>
  <xr:revisionPtr revIDLastSave="0" documentId="13_ncr:1_{86F6FBD7-CA88-4CD1-ADBB-393135B7561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Лист3" sheetId="3" r:id="rId2"/>
  </sheets>
  <definedNames>
    <definedName name="_xlnm._FilterDatabase" localSheetId="0" hidden="1">Лист1!$B$1:$B$345</definedName>
    <definedName name="_xlnm._FilterDatabase" localSheetId="1" hidden="1">Лист3!$A$9:$AA$356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0" i="3" l="1"/>
  <c r="W326" i="3" l="1"/>
  <c r="W327" i="3"/>
  <c r="W328" i="3"/>
  <c r="W329" i="3"/>
  <c r="W330" i="3"/>
  <c r="W325" i="3"/>
  <c r="W324" i="3"/>
  <c r="W322" i="3"/>
  <c r="W320" i="3"/>
  <c r="W318" i="3"/>
  <c r="W316" i="3"/>
  <c r="W315" i="3"/>
  <c r="W314" i="3"/>
  <c r="W313" i="3"/>
  <c r="W311" i="3"/>
  <c r="W310" i="3"/>
  <c r="W308" i="3"/>
  <c r="W307" i="3"/>
  <c r="W306" i="3"/>
  <c r="W305" i="3"/>
  <c r="W304" i="3"/>
  <c r="W303" i="3"/>
  <c r="W297" i="3"/>
  <c r="W298" i="3"/>
  <c r="W299" i="3"/>
  <c r="W300" i="3"/>
  <c r="W301" i="3"/>
  <c r="W296" i="3"/>
  <c r="W294" i="3"/>
  <c r="W286" i="3"/>
  <c r="W287" i="3"/>
  <c r="W288" i="3"/>
  <c r="W289" i="3"/>
  <c r="W290" i="3"/>
  <c r="W291" i="3"/>
  <c r="W292" i="3"/>
  <c r="W293" i="3"/>
  <c r="W285" i="3"/>
  <c r="W283" i="3"/>
  <c r="W282" i="3"/>
  <c r="W278" i="3"/>
  <c r="W279" i="3"/>
  <c r="W280" i="3"/>
  <c r="W277" i="3"/>
  <c r="W272" i="3"/>
  <c r="W273" i="3"/>
  <c r="W274" i="3"/>
  <c r="W275" i="3"/>
  <c r="W271" i="3"/>
  <c r="W264" i="3"/>
  <c r="W265" i="3"/>
  <c r="W266" i="3"/>
  <c r="W267" i="3"/>
  <c r="W268" i="3"/>
  <c r="W269" i="3"/>
  <c r="W263" i="3"/>
  <c r="W261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33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199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77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43" i="3"/>
  <c r="W141" i="3"/>
  <c r="W131" i="3"/>
  <c r="W132" i="3"/>
  <c r="W133" i="3"/>
  <c r="W134" i="3"/>
  <c r="W135" i="3"/>
  <c r="W136" i="3"/>
  <c r="W137" i="3"/>
  <c r="W138" i="3"/>
  <c r="W130" i="3"/>
  <c r="W119" i="3"/>
  <c r="W120" i="3"/>
  <c r="W121" i="3"/>
  <c r="W122" i="3"/>
  <c r="W123" i="3"/>
  <c r="W124" i="3"/>
  <c r="W125" i="3"/>
  <c r="W126" i="3"/>
  <c r="W127" i="3"/>
  <c r="W128" i="3"/>
  <c r="W118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03" i="3"/>
  <c r="W91" i="3"/>
  <c r="W92" i="3"/>
  <c r="W93" i="3"/>
  <c r="W94" i="3"/>
  <c r="W95" i="3"/>
  <c r="W96" i="3"/>
  <c r="W97" i="3"/>
  <c r="W98" i="3"/>
  <c r="W99" i="3"/>
  <c r="W100" i="3"/>
  <c r="W101" i="3"/>
  <c r="W90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58" i="3"/>
  <c r="W55" i="3"/>
  <c r="W56" i="3"/>
  <c r="W54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36" i="3"/>
  <c r="W35" i="3"/>
  <c r="W34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12" i="3"/>
  <c r="T313" i="3"/>
  <c r="T314" i="3"/>
  <c r="Y314" i="3" s="1"/>
  <c r="T315" i="3"/>
  <c r="Y315" i="3" s="1"/>
  <c r="T316" i="3"/>
  <c r="T318" i="3"/>
  <c r="Y318" i="3" l="1"/>
  <c r="X318" i="3"/>
  <c r="Y313" i="3"/>
  <c r="Y312" i="3" s="1"/>
  <c r="X313" i="3"/>
  <c r="X312" i="3" s="1"/>
  <c r="X316" i="3"/>
  <c r="Y316" i="3"/>
  <c r="X314" i="3"/>
  <c r="Z314" i="3" s="1"/>
  <c r="X315" i="3"/>
  <c r="Z315" i="3" s="1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Z313" i="3" l="1"/>
  <c r="Z316" i="3"/>
  <c r="Z318" i="3"/>
  <c r="I273" i="3"/>
  <c r="J273" i="3"/>
  <c r="K273" i="3"/>
  <c r="L273" i="3"/>
  <c r="M273" i="3"/>
  <c r="E290" i="3"/>
  <c r="F290" i="3"/>
  <c r="G290" i="3"/>
  <c r="G273" i="3" s="1"/>
  <c r="H290" i="3"/>
  <c r="I290" i="3"/>
  <c r="J290" i="3"/>
  <c r="K290" i="3"/>
  <c r="L290" i="3"/>
  <c r="M290" i="3"/>
  <c r="E291" i="3"/>
  <c r="F291" i="3"/>
  <c r="G291" i="3"/>
  <c r="G50" i="3" s="1"/>
  <c r="G49" i="3" s="1"/>
  <c r="G34" i="3" s="1"/>
  <c r="H291" i="3"/>
  <c r="I291" i="3"/>
  <c r="J291" i="3"/>
  <c r="K291" i="3"/>
  <c r="L291" i="3"/>
  <c r="M291" i="3"/>
  <c r="F273" i="3"/>
  <c r="F50" i="3"/>
  <c r="F51" i="3" s="1"/>
  <c r="H51" i="3"/>
  <c r="I51" i="3"/>
  <c r="J51" i="3"/>
  <c r="K51" i="3"/>
  <c r="L51" i="3"/>
  <c r="M51" i="3"/>
  <c r="H49" i="3"/>
  <c r="H34" i="3" s="1"/>
  <c r="I49" i="3"/>
  <c r="I34" i="3" s="1"/>
  <c r="J49" i="3"/>
  <c r="J34" i="3" s="1"/>
  <c r="K49" i="3"/>
  <c r="K34" i="3" s="1"/>
  <c r="L49" i="3"/>
  <c r="L34" i="3" s="1"/>
  <c r="M49" i="3"/>
  <c r="M34" i="3" s="1"/>
  <c r="S273" i="3"/>
  <c r="S290" i="3"/>
  <c r="R273" i="3"/>
  <c r="R290" i="3"/>
  <c r="Q273" i="3"/>
  <c r="Q290" i="3"/>
  <c r="P273" i="3"/>
  <c r="P289" i="3"/>
  <c r="P290" i="3" s="1"/>
  <c r="O273" i="3"/>
  <c r="O290" i="3"/>
  <c r="N273" i="3"/>
  <c r="N289" i="3"/>
  <c r="N290" i="3" s="1"/>
  <c r="D271" i="3"/>
  <c r="E271" i="3"/>
  <c r="D290" i="3"/>
  <c r="Z312" i="3" l="1"/>
  <c r="F49" i="3"/>
  <c r="F34" i="3" s="1"/>
  <c r="M285" i="3"/>
  <c r="H285" i="3"/>
  <c r="E285" i="3"/>
  <c r="F285" i="3"/>
  <c r="G285" i="3"/>
  <c r="L285" i="3"/>
  <c r="K285" i="3"/>
  <c r="J285" i="3"/>
  <c r="I285" i="3"/>
  <c r="G51" i="3"/>
  <c r="O54" i="3"/>
  <c r="Q54" i="3"/>
  <c r="R54" i="3"/>
  <c r="S54" i="3"/>
  <c r="N54" i="3"/>
  <c r="E54" i="3"/>
  <c r="S50" i="3"/>
  <c r="R50" i="3"/>
  <c r="Q50" i="3"/>
  <c r="P50" i="3"/>
  <c r="N50" i="3"/>
  <c r="O50" i="3"/>
  <c r="P51" i="3" l="1"/>
  <c r="P49" i="3"/>
  <c r="P34" i="3" s="1"/>
  <c r="Q51" i="3"/>
  <c r="Q49" i="3"/>
  <c r="Q34" i="3" s="1"/>
  <c r="O49" i="3"/>
  <c r="O34" i="3" s="1"/>
  <c r="O51" i="3"/>
  <c r="R49" i="3"/>
  <c r="R34" i="3" s="1"/>
  <c r="R51" i="3"/>
  <c r="N49" i="3"/>
  <c r="N34" i="3" s="1"/>
  <c r="N51" i="3"/>
  <c r="S49" i="3"/>
  <c r="S34" i="3" s="1"/>
  <c r="S51" i="3"/>
  <c r="T75" i="3"/>
  <c r="Y75" i="3" l="1"/>
  <c r="X75" i="3"/>
  <c r="T13" i="3"/>
  <c r="T14" i="3"/>
  <c r="T15" i="3"/>
  <c r="T22" i="3"/>
  <c r="T25" i="3"/>
  <c r="T26" i="3"/>
  <c r="T27" i="3"/>
  <c r="T28" i="3"/>
  <c r="T29" i="3"/>
  <c r="T30" i="3"/>
  <c r="T32" i="3"/>
  <c r="T35" i="3"/>
  <c r="T37" i="3"/>
  <c r="T38" i="3"/>
  <c r="T39" i="3"/>
  <c r="T41" i="3"/>
  <c r="T43" i="3"/>
  <c r="T44" i="3"/>
  <c r="T45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90" i="3"/>
  <c r="T91" i="3"/>
  <c r="T92" i="3"/>
  <c r="T93" i="3"/>
  <c r="T94" i="3"/>
  <c r="T95" i="3"/>
  <c r="T96" i="3"/>
  <c r="T97" i="3"/>
  <c r="T98" i="3"/>
  <c r="T99" i="3"/>
  <c r="T100" i="3"/>
  <c r="T101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30" i="3"/>
  <c r="T131" i="3"/>
  <c r="T132" i="3"/>
  <c r="T133" i="3"/>
  <c r="T134" i="3"/>
  <c r="T135" i="3"/>
  <c r="T136" i="3"/>
  <c r="T137" i="3"/>
  <c r="T138" i="3"/>
  <c r="T140" i="3"/>
  <c r="T141" i="3"/>
  <c r="T145" i="3"/>
  <c r="T150" i="3"/>
  <c r="T152" i="3"/>
  <c r="T153" i="3"/>
  <c r="T155" i="3"/>
  <c r="T156" i="3"/>
  <c r="T157" i="3"/>
  <c r="T159" i="3"/>
  <c r="T160" i="3"/>
  <c r="T164" i="3"/>
  <c r="T165" i="3"/>
  <c r="T166" i="3"/>
  <c r="T168" i="3"/>
  <c r="T170" i="3"/>
  <c r="T171" i="3"/>
  <c r="T173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200" i="3"/>
  <c r="T201" i="3"/>
  <c r="T202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63" i="3"/>
  <c r="T264" i="3"/>
  <c r="T265" i="3"/>
  <c r="T266" i="3"/>
  <c r="T267" i="3"/>
  <c r="T268" i="3"/>
  <c r="T269" i="3"/>
  <c r="T283" i="3"/>
  <c r="T286" i="3"/>
  <c r="T288" i="3"/>
  <c r="T294" i="3"/>
  <c r="T303" i="3"/>
  <c r="T304" i="3"/>
  <c r="T305" i="3"/>
  <c r="T306" i="3"/>
  <c r="T307" i="3"/>
  <c r="T308" i="3"/>
  <c r="T310" i="3"/>
  <c r="T311" i="3"/>
  <c r="T322" i="3"/>
  <c r="T324" i="3"/>
  <c r="T325" i="3"/>
  <c r="T326" i="3"/>
  <c r="T327" i="3"/>
  <c r="T328" i="3"/>
  <c r="T329" i="3"/>
  <c r="T330" i="3"/>
  <c r="M299" i="3"/>
  <c r="M300" i="3" s="1"/>
  <c r="L299" i="3"/>
  <c r="L300" i="3" s="1"/>
  <c r="K299" i="3"/>
  <c r="K300" i="3" s="1"/>
  <c r="J299" i="3"/>
  <c r="J300" i="3" s="1"/>
  <c r="I299" i="3"/>
  <c r="I300" i="3" s="1"/>
  <c r="M297" i="3"/>
  <c r="L297" i="3"/>
  <c r="K297" i="3"/>
  <c r="J297" i="3"/>
  <c r="I297" i="3"/>
  <c r="M295" i="3"/>
  <c r="L295" i="3"/>
  <c r="K295" i="3"/>
  <c r="J295" i="3"/>
  <c r="I295" i="3"/>
  <c r="H295" i="3"/>
  <c r="G295" i="3"/>
  <c r="F295" i="3"/>
  <c r="F282" i="3"/>
  <c r="L277" i="3"/>
  <c r="L280" i="3" s="1"/>
  <c r="I277" i="3"/>
  <c r="I280" i="3" s="1"/>
  <c r="M275" i="3"/>
  <c r="L275" i="3"/>
  <c r="K275" i="3"/>
  <c r="J275" i="3"/>
  <c r="I275" i="3"/>
  <c r="G271" i="3"/>
  <c r="H271" i="3"/>
  <c r="M271" i="3"/>
  <c r="L271" i="3"/>
  <c r="K271" i="3"/>
  <c r="J271" i="3"/>
  <c r="I271" i="3"/>
  <c r="F271" i="3"/>
  <c r="L261" i="3"/>
  <c r="K261" i="3"/>
  <c r="J261" i="3"/>
  <c r="I261" i="3"/>
  <c r="H261" i="3"/>
  <c r="G261" i="3"/>
  <c r="G259" i="3"/>
  <c r="H259" i="3"/>
  <c r="J259" i="3"/>
  <c r="K259" i="3"/>
  <c r="L259" i="3"/>
  <c r="M259" i="3"/>
  <c r="F259" i="3"/>
  <c r="I203" i="3"/>
  <c r="T203" i="3" s="1"/>
  <c r="I199" i="3"/>
  <c r="T199" i="3" s="1"/>
  <c r="L147" i="3"/>
  <c r="I147" i="3"/>
  <c r="G147" i="3"/>
  <c r="L175" i="3"/>
  <c r="I175" i="3"/>
  <c r="L174" i="3"/>
  <c r="I174" i="3"/>
  <c r="G174" i="3"/>
  <c r="L154" i="3"/>
  <c r="I154" i="3"/>
  <c r="G154" i="3"/>
  <c r="G149" i="3"/>
  <c r="T149" i="3" s="1"/>
  <c r="I148" i="3"/>
  <c r="L148" i="3"/>
  <c r="L143" i="3"/>
  <c r="I143" i="3"/>
  <c r="G143" i="3"/>
  <c r="M56" i="3"/>
  <c r="M54" i="3" s="1"/>
  <c r="L56" i="3"/>
  <c r="L54" i="3" s="1"/>
  <c r="K56" i="3"/>
  <c r="M55" i="3"/>
  <c r="L55" i="3"/>
  <c r="K54" i="3"/>
  <c r="F52" i="3"/>
  <c r="T52" i="3" s="1"/>
  <c r="H47" i="3"/>
  <c r="G47" i="3"/>
  <c r="F47" i="3"/>
  <c r="H46" i="3"/>
  <c r="T46" i="3" s="1"/>
  <c r="M40" i="3"/>
  <c r="L40" i="3"/>
  <c r="K40" i="3"/>
  <c r="H40" i="3"/>
  <c r="G40" i="3"/>
  <c r="F40" i="3"/>
  <c r="F20" i="3"/>
  <c r="G20" i="3"/>
  <c r="J20" i="3"/>
  <c r="H21" i="3"/>
  <c r="H20" i="3" s="1"/>
  <c r="I21" i="3"/>
  <c r="I20" i="3" s="1"/>
  <c r="K21" i="3"/>
  <c r="K20" i="3" s="1"/>
  <c r="L21" i="3"/>
  <c r="L20" i="3" s="1"/>
  <c r="M31" i="3"/>
  <c r="T31" i="3" s="1"/>
  <c r="M24" i="3"/>
  <c r="M21" i="3"/>
  <c r="M19" i="3"/>
  <c r="L19" i="3"/>
  <c r="G19" i="3"/>
  <c r="M18" i="3"/>
  <c r="K18" i="3"/>
  <c r="L17" i="3"/>
  <c r="T17" i="3" s="1"/>
  <c r="M16" i="3"/>
  <c r="L16" i="3"/>
  <c r="Y140" i="3" l="1"/>
  <c r="X140" i="3"/>
  <c r="X17" i="3"/>
  <c r="Y17" i="3"/>
  <c r="Y203" i="3"/>
  <c r="X203" i="3"/>
  <c r="X330" i="3"/>
  <c r="Y330" i="3"/>
  <c r="X326" i="3"/>
  <c r="Y326" i="3"/>
  <c r="Y311" i="3"/>
  <c r="X311" i="3"/>
  <c r="X306" i="3"/>
  <c r="Y306" i="3"/>
  <c r="X294" i="3"/>
  <c r="Y294" i="3"/>
  <c r="X269" i="3"/>
  <c r="Y269" i="3"/>
  <c r="X265" i="3"/>
  <c r="Y265" i="3"/>
  <c r="X257" i="3"/>
  <c r="Y257" i="3"/>
  <c r="X253" i="3"/>
  <c r="Y253" i="3"/>
  <c r="X249" i="3"/>
  <c r="Y249" i="3"/>
  <c r="X245" i="3"/>
  <c r="Y245" i="3"/>
  <c r="X241" i="3"/>
  <c r="Y241" i="3"/>
  <c r="X237" i="3"/>
  <c r="Y237" i="3"/>
  <c r="X233" i="3"/>
  <c r="Y233" i="3"/>
  <c r="Y228" i="3"/>
  <c r="X228" i="3"/>
  <c r="Y224" i="3"/>
  <c r="X224" i="3"/>
  <c r="Y220" i="3"/>
  <c r="X220" i="3"/>
  <c r="Y216" i="3"/>
  <c r="X216" i="3"/>
  <c r="Y212" i="3"/>
  <c r="X212" i="3"/>
  <c r="Y208" i="3"/>
  <c r="X208" i="3"/>
  <c r="Y204" i="3"/>
  <c r="X204" i="3"/>
  <c r="Y197" i="3"/>
  <c r="X197" i="3"/>
  <c r="Y193" i="3"/>
  <c r="X193" i="3"/>
  <c r="Y189" i="3"/>
  <c r="X189" i="3"/>
  <c r="Y185" i="3"/>
  <c r="X185" i="3"/>
  <c r="Y181" i="3"/>
  <c r="X181" i="3"/>
  <c r="Y177" i="3"/>
  <c r="X177" i="3"/>
  <c r="X168" i="3"/>
  <c r="Y168" i="3"/>
  <c r="X160" i="3"/>
  <c r="Y160" i="3"/>
  <c r="X155" i="3"/>
  <c r="Y155" i="3"/>
  <c r="X145" i="3"/>
  <c r="Y145" i="3"/>
  <c r="X137" i="3"/>
  <c r="Y137" i="3"/>
  <c r="X133" i="3"/>
  <c r="Y133" i="3"/>
  <c r="X128" i="3"/>
  <c r="Y128" i="3"/>
  <c r="Y124" i="3"/>
  <c r="X124" i="3"/>
  <c r="Y120" i="3"/>
  <c r="X120" i="3"/>
  <c r="X115" i="3"/>
  <c r="Y115" i="3"/>
  <c r="X111" i="3"/>
  <c r="Y111" i="3"/>
  <c r="X107" i="3"/>
  <c r="Y107" i="3"/>
  <c r="Y103" i="3"/>
  <c r="X103" i="3"/>
  <c r="X98" i="3"/>
  <c r="Y98" i="3"/>
  <c r="X94" i="3"/>
  <c r="Y94" i="3"/>
  <c r="X90" i="3"/>
  <c r="Y90" i="3"/>
  <c r="Y85" i="3"/>
  <c r="X85" i="3"/>
  <c r="Y81" i="3"/>
  <c r="X81" i="3"/>
  <c r="Y77" i="3"/>
  <c r="X77" i="3"/>
  <c r="Y72" i="3"/>
  <c r="X72" i="3"/>
  <c r="Y68" i="3"/>
  <c r="X68" i="3"/>
  <c r="Y64" i="3"/>
  <c r="X64" i="3"/>
  <c r="Y60" i="3"/>
  <c r="X60" i="3"/>
  <c r="Y44" i="3"/>
  <c r="X44" i="3"/>
  <c r="Y38" i="3"/>
  <c r="X38" i="3"/>
  <c r="Y30" i="3"/>
  <c r="X30" i="3"/>
  <c r="Y26" i="3"/>
  <c r="X26" i="3"/>
  <c r="X14" i="3"/>
  <c r="Y14" i="3"/>
  <c r="Y31" i="3"/>
  <c r="X31" i="3"/>
  <c r="X329" i="3"/>
  <c r="Y329" i="3"/>
  <c r="X325" i="3"/>
  <c r="Y325" i="3"/>
  <c r="Y310" i="3"/>
  <c r="Y309" i="3" s="1"/>
  <c r="X310" i="3"/>
  <c r="X309" i="3" s="1"/>
  <c r="X305" i="3"/>
  <c r="Y305" i="3"/>
  <c r="X288" i="3"/>
  <c r="Y288" i="3"/>
  <c r="X268" i="3"/>
  <c r="Y268" i="3"/>
  <c r="X264" i="3"/>
  <c r="Y264" i="3"/>
  <c r="X256" i="3"/>
  <c r="Y256" i="3"/>
  <c r="X252" i="3"/>
  <c r="Y252" i="3"/>
  <c r="X248" i="3"/>
  <c r="Y248" i="3"/>
  <c r="X244" i="3"/>
  <c r="Y244" i="3"/>
  <c r="X240" i="3"/>
  <c r="Y240" i="3"/>
  <c r="X236" i="3"/>
  <c r="Y236" i="3"/>
  <c r="X231" i="3"/>
  <c r="Y231" i="3"/>
  <c r="X227" i="3"/>
  <c r="Y227" i="3"/>
  <c r="X223" i="3"/>
  <c r="Y223" i="3"/>
  <c r="X219" i="3"/>
  <c r="Y219" i="3"/>
  <c r="Y215" i="3"/>
  <c r="X215" i="3"/>
  <c r="Y211" i="3"/>
  <c r="X211" i="3"/>
  <c r="Y207" i="3"/>
  <c r="X207" i="3"/>
  <c r="Y202" i="3"/>
  <c r="X202" i="3"/>
  <c r="X196" i="3"/>
  <c r="Y196" i="3"/>
  <c r="X192" i="3"/>
  <c r="Y192" i="3"/>
  <c r="X188" i="3"/>
  <c r="Y188" i="3"/>
  <c r="X184" i="3"/>
  <c r="Y184" i="3"/>
  <c r="X180" i="3"/>
  <c r="Y180" i="3"/>
  <c r="X173" i="3"/>
  <c r="Y173" i="3"/>
  <c r="X166" i="3"/>
  <c r="Y166" i="3"/>
  <c r="X159" i="3"/>
  <c r="Y159" i="3"/>
  <c r="X153" i="3"/>
  <c r="Y153" i="3"/>
  <c r="Y141" i="3"/>
  <c r="X141" i="3"/>
  <c r="X136" i="3"/>
  <c r="Y136" i="3"/>
  <c r="X132" i="3"/>
  <c r="Y132" i="3"/>
  <c r="X127" i="3"/>
  <c r="Y127" i="3"/>
  <c r="Y123" i="3"/>
  <c r="X123" i="3"/>
  <c r="Y119" i="3"/>
  <c r="X119" i="3"/>
  <c r="X114" i="3"/>
  <c r="Y114" i="3"/>
  <c r="X110" i="3"/>
  <c r="Y110" i="3"/>
  <c r="X106" i="3"/>
  <c r="Y106" i="3"/>
  <c r="X101" i="3"/>
  <c r="Y101" i="3"/>
  <c r="X97" i="3"/>
  <c r="Y97" i="3"/>
  <c r="X93" i="3"/>
  <c r="Y93" i="3"/>
  <c r="Y88" i="3"/>
  <c r="X88" i="3"/>
  <c r="Y84" i="3"/>
  <c r="X84" i="3"/>
  <c r="Y80" i="3"/>
  <c r="X80" i="3"/>
  <c r="Y76" i="3"/>
  <c r="X76" i="3"/>
  <c r="Y71" i="3"/>
  <c r="X71" i="3"/>
  <c r="Y67" i="3"/>
  <c r="X67" i="3"/>
  <c r="Y63" i="3"/>
  <c r="X63" i="3"/>
  <c r="Y59" i="3"/>
  <c r="X59" i="3"/>
  <c r="X43" i="3"/>
  <c r="Y43" i="3"/>
  <c r="X37" i="3"/>
  <c r="Y37" i="3"/>
  <c r="Y29" i="3"/>
  <c r="X29" i="3"/>
  <c r="Y25" i="3"/>
  <c r="X25" i="3"/>
  <c r="X13" i="3"/>
  <c r="Y13" i="3"/>
  <c r="X328" i="3"/>
  <c r="Y328" i="3"/>
  <c r="Y324" i="3"/>
  <c r="X324" i="3"/>
  <c r="X308" i="3"/>
  <c r="Y308" i="3"/>
  <c r="X304" i="3"/>
  <c r="Y304" i="3"/>
  <c r="X286" i="3"/>
  <c r="Y286" i="3"/>
  <c r="X267" i="3"/>
  <c r="Y267" i="3"/>
  <c r="Y263" i="3"/>
  <c r="X263" i="3"/>
  <c r="X255" i="3"/>
  <c r="Y255" i="3"/>
  <c r="X251" i="3"/>
  <c r="Y251" i="3"/>
  <c r="X247" i="3"/>
  <c r="Y247" i="3"/>
  <c r="X243" i="3"/>
  <c r="Y243" i="3"/>
  <c r="X239" i="3"/>
  <c r="Y239" i="3"/>
  <c r="X235" i="3"/>
  <c r="Y235" i="3"/>
  <c r="X230" i="3"/>
  <c r="Y230" i="3"/>
  <c r="X226" i="3"/>
  <c r="Y226" i="3"/>
  <c r="X222" i="3"/>
  <c r="Y222" i="3"/>
  <c r="X218" i="3"/>
  <c r="Y218" i="3"/>
  <c r="Y214" i="3"/>
  <c r="X214" i="3"/>
  <c r="Y210" i="3"/>
  <c r="X210" i="3"/>
  <c r="Y206" i="3"/>
  <c r="X206" i="3"/>
  <c r="Y201" i="3"/>
  <c r="X201" i="3"/>
  <c r="X195" i="3"/>
  <c r="Y195" i="3"/>
  <c r="X191" i="3"/>
  <c r="Y191" i="3"/>
  <c r="X187" i="3"/>
  <c r="Y187" i="3"/>
  <c r="X183" i="3"/>
  <c r="Y183" i="3"/>
  <c r="X179" i="3"/>
  <c r="Y179" i="3"/>
  <c r="X171" i="3"/>
  <c r="Y171" i="3"/>
  <c r="X165" i="3"/>
  <c r="Y165" i="3"/>
  <c r="X157" i="3"/>
  <c r="Y157" i="3"/>
  <c r="X152" i="3"/>
  <c r="Y152" i="3"/>
  <c r="X135" i="3"/>
  <c r="Y135" i="3"/>
  <c r="X131" i="3"/>
  <c r="Y131" i="3"/>
  <c r="Y126" i="3"/>
  <c r="X126" i="3"/>
  <c r="Y122" i="3"/>
  <c r="X122" i="3"/>
  <c r="Y118" i="3"/>
  <c r="X118" i="3"/>
  <c r="X113" i="3"/>
  <c r="Y113" i="3"/>
  <c r="X109" i="3"/>
  <c r="Y109" i="3"/>
  <c r="X105" i="3"/>
  <c r="Y105" i="3"/>
  <c r="X100" i="3"/>
  <c r="Y100" i="3"/>
  <c r="X96" i="3"/>
  <c r="Y96" i="3"/>
  <c r="X92" i="3"/>
  <c r="Y92" i="3"/>
  <c r="Y87" i="3"/>
  <c r="X87" i="3"/>
  <c r="Y83" i="3"/>
  <c r="X83" i="3"/>
  <c r="Y79" i="3"/>
  <c r="X79" i="3"/>
  <c r="Y74" i="3"/>
  <c r="X74" i="3"/>
  <c r="Y70" i="3"/>
  <c r="X70" i="3"/>
  <c r="Y66" i="3"/>
  <c r="X66" i="3"/>
  <c r="Y62" i="3"/>
  <c r="X62" i="3"/>
  <c r="Y58" i="3"/>
  <c r="X58" i="3"/>
  <c r="X41" i="3"/>
  <c r="Y41" i="3"/>
  <c r="X35" i="3"/>
  <c r="Y35" i="3"/>
  <c r="Y28" i="3"/>
  <c r="X28" i="3"/>
  <c r="Y22" i="3"/>
  <c r="X22" i="3"/>
  <c r="Y46" i="3"/>
  <c r="X46" i="3"/>
  <c r="X52" i="3"/>
  <c r="Y52" i="3"/>
  <c r="X149" i="3"/>
  <c r="Y149" i="3"/>
  <c r="Y199" i="3"/>
  <c r="X199" i="3"/>
  <c r="X327" i="3"/>
  <c r="Y327" i="3"/>
  <c r="Y322" i="3"/>
  <c r="X322" i="3"/>
  <c r="X307" i="3"/>
  <c r="Y307" i="3"/>
  <c r="X303" i="3"/>
  <c r="Y303" i="3"/>
  <c r="Y283" i="3"/>
  <c r="X283" i="3"/>
  <c r="X266" i="3"/>
  <c r="Y266" i="3"/>
  <c r="X258" i="3"/>
  <c r="Y258" i="3"/>
  <c r="X254" i="3"/>
  <c r="Y254" i="3"/>
  <c r="X250" i="3"/>
  <c r="Y250" i="3"/>
  <c r="X246" i="3"/>
  <c r="Y246" i="3"/>
  <c r="X242" i="3"/>
  <c r="Y242" i="3"/>
  <c r="X238" i="3"/>
  <c r="Y238" i="3"/>
  <c r="X234" i="3"/>
  <c r="Y234" i="3"/>
  <c r="X229" i="3"/>
  <c r="Y229" i="3"/>
  <c r="X225" i="3"/>
  <c r="Y225" i="3"/>
  <c r="X221" i="3"/>
  <c r="Y221" i="3"/>
  <c r="X217" i="3"/>
  <c r="Y217" i="3"/>
  <c r="Y213" i="3"/>
  <c r="X213" i="3"/>
  <c r="Y209" i="3"/>
  <c r="X209" i="3"/>
  <c r="Y205" i="3"/>
  <c r="X205" i="3"/>
  <c r="Y200" i="3"/>
  <c r="X200" i="3"/>
  <c r="X194" i="3"/>
  <c r="Y194" i="3"/>
  <c r="Y190" i="3"/>
  <c r="X190" i="3"/>
  <c r="X186" i="3"/>
  <c r="Y186" i="3"/>
  <c r="X182" i="3"/>
  <c r="Y182" i="3"/>
  <c r="X178" i="3"/>
  <c r="Y178" i="3"/>
  <c r="X170" i="3"/>
  <c r="Y170" i="3"/>
  <c r="X164" i="3"/>
  <c r="Y164" i="3"/>
  <c r="X156" i="3"/>
  <c r="Y156" i="3"/>
  <c r="X150" i="3"/>
  <c r="Y150" i="3"/>
  <c r="X138" i="3"/>
  <c r="Y138" i="3"/>
  <c r="X134" i="3"/>
  <c r="Y134" i="3"/>
  <c r="X130" i="3"/>
  <c r="X129" i="3" s="1"/>
  <c r="Y130" i="3"/>
  <c r="Y129" i="3" s="1"/>
  <c r="Y125" i="3"/>
  <c r="X125" i="3"/>
  <c r="Y121" i="3"/>
  <c r="X121" i="3"/>
  <c r="X116" i="3"/>
  <c r="Y116" i="3"/>
  <c r="X112" i="3"/>
  <c r="Y112" i="3"/>
  <c r="X108" i="3"/>
  <c r="Y108" i="3"/>
  <c r="X104" i="3"/>
  <c r="Y104" i="3"/>
  <c r="X99" i="3"/>
  <c r="Y99" i="3"/>
  <c r="X95" i="3"/>
  <c r="Y95" i="3"/>
  <c r="X91" i="3"/>
  <c r="Y91" i="3"/>
  <c r="Y86" i="3"/>
  <c r="X86" i="3"/>
  <c r="Y82" i="3"/>
  <c r="X82" i="3"/>
  <c r="Y78" i="3"/>
  <c r="X78" i="3"/>
  <c r="Y73" i="3"/>
  <c r="X73" i="3"/>
  <c r="Y69" i="3"/>
  <c r="X69" i="3"/>
  <c r="Y65" i="3"/>
  <c r="X65" i="3"/>
  <c r="Y61" i="3"/>
  <c r="X61" i="3"/>
  <c r="X45" i="3"/>
  <c r="Y45" i="3"/>
  <c r="X39" i="3"/>
  <c r="Y39" i="3"/>
  <c r="Y32" i="3"/>
  <c r="X32" i="3"/>
  <c r="Y27" i="3"/>
  <c r="X27" i="3"/>
  <c r="X15" i="3"/>
  <c r="Y15" i="3"/>
  <c r="Z75" i="3"/>
  <c r="T18" i="3"/>
  <c r="T16" i="3"/>
  <c r="T261" i="3"/>
  <c r="T275" i="3"/>
  <c r="T143" i="3"/>
  <c r="T175" i="3"/>
  <c r="T148" i="3"/>
  <c r="T19" i="3"/>
  <c r="I259" i="3"/>
  <c r="T259" i="3" s="1"/>
  <c r="I301" i="3"/>
  <c r="K301" i="3"/>
  <c r="M20" i="3"/>
  <c r="J301" i="3"/>
  <c r="L278" i="3"/>
  <c r="L301" i="3"/>
  <c r="L279" i="3"/>
  <c r="M301" i="3"/>
  <c r="I279" i="3"/>
  <c r="I278" i="3"/>
  <c r="Y262" i="3" l="1"/>
  <c r="Y89" i="3"/>
  <c r="X176" i="3"/>
  <c r="Y176" i="3"/>
  <c r="X262" i="3"/>
  <c r="X102" i="3"/>
  <c r="X139" i="3"/>
  <c r="X89" i="3"/>
  <c r="Y302" i="3"/>
  <c r="X198" i="3"/>
  <c r="X57" i="3"/>
  <c r="X117" i="3"/>
  <c r="X302" i="3"/>
  <c r="Y198" i="3"/>
  <c r="Y57" i="3"/>
  <c r="Y117" i="3"/>
  <c r="Y102" i="3"/>
  <c r="Z140" i="3"/>
  <c r="Y139" i="3"/>
  <c r="Z177" i="3"/>
  <c r="Z185" i="3"/>
  <c r="Z193" i="3"/>
  <c r="Z204" i="3"/>
  <c r="Z212" i="3"/>
  <c r="Z27" i="3"/>
  <c r="Z61" i="3"/>
  <c r="Z69" i="3"/>
  <c r="Z78" i="3"/>
  <c r="Z86" i="3"/>
  <c r="Z121" i="3"/>
  <c r="Z190" i="3"/>
  <c r="Z200" i="3"/>
  <c r="Z209" i="3"/>
  <c r="Z283" i="3"/>
  <c r="Z46" i="3"/>
  <c r="Z28" i="3"/>
  <c r="Z62" i="3"/>
  <c r="Z70" i="3"/>
  <c r="Z79" i="3"/>
  <c r="Z87" i="3"/>
  <c r="Z122" i="3"/>
  <c r="Z131" i="3"/>
  <c r="Z201" i="3"/>
  <c r="Z210" i="3"/>
  <c r="Z263" i="3"/>
  <c r="Z25" i="3"/>
  <c r="Z59" i="3"/>
  <c r="Z67" i="3"/>
  <c r="Z76" i="3"/>
  <c r="Z84" i="3"/>
  <c r="Z119" i="3"/>
  <c r="Z207" i="3"/>
  <c r="Z215" i="3"/>
  <c r="Z325" i="3"/>
  <c r="Z31" i="3"/>
  <c r="Z26" i="3"/>
  <c r="Z38" i="3"/>
  <c r="Z60" i="3"/>
  <c r="Z68" i="3"/>
  <c r="Z77" i="3"/>
  <c r="Z85" i="3"/>
  <c r="Z103" i="3"/>
  <c r="Z120" i="3"/>
  <c r="Z181" i="3"/>
  <c r="Z189" i="3"/>
  <c r="Z197" i="3"/>
  <c r="Z208" i="3"/>
  <c r="Z216" i="3"/>
  <c r="Z224" i="3"/>
  <c r="Z203" i="3"/>
  <c r="Z15" i="3"/>
  <c r="Z45" i="3"/>
  <c r="Z91" i="3"/>
  <c r="Z99" i="3"/>
  <c r="Z108" i="3"/>
  <c r="Z116" i="3"/>
  <c r="Z134" i="3"/>
  <c r="Z150" i="3"/>
  <c r="Z164" i="3"/>
  <c r="Z178" i="3"/>
  <c r="Z186" i="3"/>
  <c r="Z194" i="3"/>
  <c r="Z221" i="3"/>
  <c r="Z229" i="3"/>
  <c r="Z238" i="3"/>
  <c r="Z246" i="3"/>
  <c r="Z254" i="3"/>
  <c r="Z266" i="3"/>
  <c r="Z303" i="3"/>
  <c r="Z52" i="3"/>
  <c r="Z35" i="3"/>
  <c r="Z92" i="3"/>
  <c r="Z100" i="3"/>
  <c r="Z109" i="3"/>
  <c r="Z135" i="3"/>
  <c r="Z152" i="3"/>
  <c r="Z165" i="3"/>
  <c r="Z179" i="3"/>
  <c r="Z187" i="3"/>
  <c r="Z195" i="3"/>
  <c r="Z222" i="3"/>
  <c r="Z230" i="3"/>
  <c r="Z239" i="3"/>
  <c r="Z247" i="3"/>
  <c r="Z255" i="3"/>
  <c r="Z267" i="3"/>
  <c r="Z304" i="3"/>
  <c r="Z13" i="3"/>
  <c r="Z43" i="3"/>
  <c r="Z97" i="3"/>
  <c r="Z106" i="3"/>
  <c r="Z114" i="3"/>
  <c r="Z132" i="3"/>
  <c r="Z159" i="3"/>
  <c r="Z173" i="3"/>
  <c r="Z184" i="3"/>
  <c r="Z192" i="3"/>
  <c r="Z219" i="3"/>
  <c r="Z227" i="3"/>
  <c r="Z236" i="3"/>
  <c r="Z244" i="3"/>
  <c r="Z252" i="3"/>
  <c r="Z264" i="3"/>
  <c r="Z288" i="3"/>
  <c r="Z329" i="3"/>
  <c r="Z14" i="3"/>
  <c r="Z90" i="3"/>
  <c r="Z98" i="3"/>
  <c r="Z107" i="3"/>
  <c r="Z115" i="3"/>
  <c r="Z133" i="3"/>
  <c r="Z145" i="3"/>
  <c r="Z160" i="3"/>
  <c r="Z237" i="3"/>
  <c r="Z245" i="3"/>
  <c r="Z253" i="3"/>
  <c r="Z265" i="3"/>
  <c r="Z294" i="3"/>
  <c r="Z330" i="3"/>
  <c r="Z17" i="3"/>
  <c r="X16" i="3"/>
  <c r="Y16" i="3"/>
  <c r="X259" i="3"/>
  <c r="X232" i="3" s="1"/>
  <c r="Y259" i="3"/>
  <c r="Y232" i="3" s="1"/>
  <c r="X143" i="3"/>
  <c r="Y143" i="3"/>
  <c r="X18" i="3"/>
  <c r="Y18" i="3"/>
  <c r="Z39" i="3"/>
  <c r="Z95" i="3"/>
  <c r="Z104" i="3"/>
  <c r="Z112" i="3"/>
  <c r="Z130" i="3"/>
  <c r="Z138" i="3"/>
  <c r="Z156" i="3"/>
  <c r="Z170" i="3"/>
  <c r="Z182" i="3"/>
  <c r="Z217" i="3"/>
  <c r="Z225" i="3"/>
  <c r="Z234" i="3"/>
  <c r="Z242" i="3"/>
  <c r="Z250" i="3"/>
  <c r="Z258" i="3"/>
  <c r="Z307" i="3"/>
  <c r="Z327" i="3"/>
  <c r="Z149" i="3"/>
  <c r="Z41" i="3"/>
  <c r="Z96" i="3"/>
  <c r="Z105" i="3"/>
  <c r="Z113" i="3"/>
  <c r="Z157" i="3"/>
  <c r="Z171" i="3"/>
  <c r="Z183" i="3"/>
  <c r="Z191" i="3"/>
  <c r="Z218" i="3"/>
  <c r="Z226" i="3"/>
  <c r="Z235" i="3"/>
  <c r="Z243" i="3"/>
  <c r="Z251" i="3"/>
  <c r="Z286" i="3"/>
  <c r="Z308" i="3"/>
  <c r="Z328" i="3"/>
  <c r="Z37" i="3"/>
  <c r="Z93" i="3"/>
  <c r="Z101" i="3"/>
  <c r="Z110" i="3"/>
  <c r="Z127" i="3"/>
  <c r="Z136" i="3"/>
  <c r="Z153" i="3"/>
  <c r="Z166" i="3"/>
  <c r="Z180" i="3"/>
  <c r="Z188" i="3"/>
  <c r="Z196" i="3"/>
  <c r="Z223" i="3"/>
  <c r="Z231" i="3"/>
  <c r="Z240" i="3"/>
  <c r="Z248" i="3"/>
  <c r="Z256" i="3"/>
  <c r="Z268" i="3"/>
  <c r="Z305" i="3"/>
  <c r="Z94" i="3"/>
  <c r="Z111" i="3"/>
  <c r="Z128" i="3"/>
  <c r="Z137" i="3"/>
  <c r="Z155" i="3"/>
  <c r="Z168" i="3"/>
  <c r="Z233" i="3"/>
  <c r="Z241" i="3"/>
  <c r="Z249" i="3"/>
  <c r="Z257" i="3"/>
  <c r="Z269" i="3"/>
  <c r="Z306" i="3"/>
  <c r="Z326" i="3"/>
  <c r="X19" i="3"/>
  <c r="Y19" i="3"/>
  <c r="X275" i="3"/>
  <c r="Y275" i="3"/>
  <c r="Y261" i="3"/>
  <c r="Y260" i="3" s="1"/>
  <c r="X261" i="3"/>
  <c r="X260" i="3" s="1"/>
  <c r="X148" i="3"/>
  <c r="Y148" i="3"/>
  <c r="X175" i="3"/>
  <c r="Y175" i="3"/>
  <c r="Z32" i="3"/>
  <c r="Z65" i="3"/>
  <c r="Z73" i="3"/>
  <c r="Z82" i="3"/>
  <c r="Z125" i="3"/>
  <c r="Z205" i="3"/>
  <c r="Z213" i="3"/>
  <c r="Z322" i="3"/>
  <c r="Z199" i="3"/>
  <c r="Z22" i="3"/>
  <c r="Z58" i="3"/>
  <c r="Z57" i="3" s="1"/>
  <c r="Z66" i="3"/>
  <c r="Z74" i="3"/>
  <c r="Z83" i="3"/>
  <c r="Z118" i="3"/>
  <c r="Z126" i="3"/>
  <c r="Z206" i="3"/>
  <c r="Z214" i="3"/>
  <c r="Z324" i="3"/>
  <c r="Z29" i="3"/>
  <c r="Z63" i="3"/>
  <c r="Z71" i="3"/>
  <c r="Z80" i="3"/>
  <c r="Z88" i="3"/>
  <c r="Z123" i="3"/>
  <c r="Z141" i="3"/>
  <c r="Z202" i="3"/>
  <c r="Z211" i="3"/>
  <c r="Z310" i="3"/>
  <c r="Z30" i="3"/>
  <c r="Z44" i="3"/>
  <c r="Z64" i="3"/>
  <c r="Z72" i="3"/>
  <c r="Z81" i="3"/>
  <c r="Z124" i="3"/>
  <c r="Z220" i="3"/>
  <c r="Z228" i="3"/>
  <c r="Z311" i="3"/>
  <c r="T12" i="3"/>
  <c r="X12" i="3" s="1"/>
  <c r="Z176" i="3" l="1"/>
  <c r="Z117" i="3"/>
  <c r="Z309" i="3"/>
  <c r="Z198" i="3"/>
  <c r="Z89" i="3"/>
  <c r="Z262" i="3"/>
  <c r="Z102" i="3"/>
  <c r="Z139" i="3"/>
  <c r="Z129" i="3"/>
  <c r="Z302" i="3"/>
  <c r="Z175" i="3"/>
  <c r="Z16" i="3"/>
  <c r="Z19" i="3"/>
  <c r="Z18" i="3"/>
  <c r="Z259" i="3"/>
  <c r="Z232" i="3" s="1"/>
  <c r="Z261" i="3"/>
  <c r="Z260" i="3" s="1"/>
  <c r="Z148" i="3"/>
  <c r="Z275" i="3"/>
  <c r="Z143" i="3"/>
  <c r="S295" i="3"/>
  <c r="S297" i="3" s="1"/>
  <c r="S282" i="3"/>
  <c r="S277" i="3"/>
  <c r="S278" i="3" s="1"/>
  <c r="S174" i="3"/>
  <c r="S147" i="3"/>
  <c r="S146" i="3"/>
  <c r="T146" i="3" s="1"/>
  <c r="S144" i="3"/>
  <c r="T144" i="3" s="1"/>
  <c r="S169" i="3"/>
  <c r="S151" i="3"/>
  <c r="T151" i="3" s="1"/>
  <c r="S40" i="3"/>
  <c r="S271" i="3"/>
  <c r="S291" i="3"/>
  <c r="S285" i="3" s="1"/>
  <c r="S55" i="3"/>
  <c r="S20" i="3"/>
  <c r="S47" i="3"/>
  <c r="X146" i="3" l="1"/>
  <c r="Y146" i="3"/>
  <c r="X151" i="3"/>
  <c r="Y151" i="3"/>
  <c r="X144" i="3"/>
  <c r="Y144" i="3"/>
  <c r="S279" i="3"/>
  <c r="S299" i="3"/>
  <c r="S300" i="3" s="1"/>
  <c r="S280" i="3"/>
  <c r="S298" i="3"/>
  <c r="S296" i="3"/>
  <c r="R297" i="3"/>
  <c r="Q297" i="3"/>
  <c r="R296" i="3"/>
  <c r="Q296" i="3"/>
  <c r="R299" i="3"/>
  <c r="R301" i="3" s="1"/>
  <c r="Q299" i="3"/>
  <c r="Q301" i="3" s="1"/>
  <c r="R298" i="3"/>
  <c r="Q298" i="3"/>
  <c r="R282" i="3"/>
  <c r="Q282" i="3"/>
  <c r="Q163" i="3"/>
  <c r="T163" i="3" s="1"/>
  <c r="Q162" i="3"/>
  <c r="Q161" i="3"/>
  <c r="T161" i="3" s="1"/>
  <c r="R277" i="3"/>
  <c r="R280" i="3" s="1"/>
  <c r="Q277" i="3"/>
  <c r="Q279" i="3" s="1"/>
  <c r="R291" i="3"/>
  <c r="R285" i="3" s="1"/>
  <c r="Q291" i="3"/>
  <c r="Q285" i="3" s="1"/>
  <c r="R271" i="3"/>
  <c r="R272" i="3"/>
  <c r="T272" i="3" s="1"/>
  <c r="Q271" i="3"/>
  <c r="R36" i="3"/>
  <c r="Q42" i="3"/>
  <c r="T42" i="3" s="1"/>
  <c r="Q20" i="3"/>
  <c r="R21" i="3"/>
  <c r="R20" i="3" s="1"/>
  <c r="R47" i="3"/>
  <c r="Q48" i="3"/>
  <c r="T48" i="3" s="1"/>
  <c r="Q47" i="3"/>
  <c r="P299" i="3"/>
  <c r="P301" i="3" s="1"/>
  <c r="P298" i="3"/>
  <c r="P297" i="3"/>
  <c r="P296" i="3"/>
  <c r="P282" i="3"/>
  <c r="P20" i="3"/>
  <c r="P56" i="3"/>
  <c r="P54" i="3" s="1"/>
  <c r="P291" i="3"/>
  <c r="P285" i="3" s="1"/>
  <c r="P271" i="3"/>
  <c r="P277" i="3"/>
  <c r="P278" i="3" s="1"/>
  <c r="P36" i="3"/>
  <c r="P55" i="3"/>
  <c r="T55" i="3" s="1"/>
  <c r="P40" i="3"/>
  <c r="P47" i="3"/>
  <c r="O299" i="3"/>
  <c r="O301" i="3" s="1"/>
  <c r="N299" i="3"/>
  <c r="N301" i="3" s="1"/>
  <c r="N298" i="3"/>
  <c r="O295" i="3"/>
  <c r="O296" i="3" s="1"/>
  <c r="N295" i="3"/>
  <c r="N147" i="3"/>
  <c r="N174" i="3"/>
  <c r="O282" i="3"/>
  <c r="N282" i="3"/>
  <c r="O277" i="3"/>
  <c r="O280" i="3" s="1"/>
  <c r="N277" i="3"/>
  <c r="N278" i="3" s="1"/>
  <c r="O291" i="3"/>
  <c r="O285" i="3" s="1"/>
  <c r="N291" i="3"/>
  <c r="N285" i="3" s="1"/>
  <c r="O287" i="3"/>
  <c r="N287" i="3"/>
  <c r="N172" i="3"/>
  <c r="T172" i="3" s="1"/>
  <c r="N169" i="3"/>
  <c r="T169" i="3" s="1"/>
  <c r="N158" i="3"/>
  <c r="T158" i="3" s="1"/>
  <c r="N162" i="3"/>
  <c r="N167" i="3"/>
  <c r="T167" i="3" s="1"/>
  <c r="O271" i="3"/>
  <c r="N271" i="3"/>
  <c r="Z144" i="3" l="1"/>
  <c r="Z146" i="3"/>
  <c r="X167" i="3"/>
  <c r="Y167" i="3"/>
  <c r="X172" i="3"/>
  <c r="Y172" i="3"/>
  <c r="X161" i="3"/>
  <c r="Y161" i="3"/>
  <c r="Z151" i="3"/>
  <c r="X158" i="3"/>
  <c r="Y158" i="3"/>
  <c r="X55" i="3"/>
  <c r="Y55" i="3"/>
  <c r="X272" i="3"/>
  <c r="Y272" i="3"/>
  <c r="X163" i="3"/>
  <c r="Y163" i="3"/>
  <c r="X169" i="3"/>
  <c r="Y169" i="3"/>
  <c r="X48" i="3"/>
  <c r="Y48" i="3"/>
  <c r="Y42" i="3"/>
  <c r="X42" i="3"/>
  <c r="T162" i="3"/>
  <c r="T287" i="3"/>
  <c r="T36" i="3"/>
  <c r="N296" i="3"/>
  <c r="T320" i="3"/>
  <c r="Q280" i="3"/>
  <c r="S301" i="3"/>
  <c r="O297" i="3"/>
  <c r="Q278" i="3"/>
  <c r="R278" i="3"/>
  <c r="R300" i="3"/>
  <c r="R279" i="3"/>
  <c r="Q300" i="3"/>
  <c r="P300" i="3"/>
  <c r="P280" i="3"/>
  <c r="P279" i="3"/>
  <c r="N297" i="3"/>
  <c r="N279" i="3"/>
  <c r="O298" i="3"/>
  <c r="N280" i="3"/>
  <c r="O278" i="3"/>
  <c r="O279" i="3"/>
  <c r="N300" i="3"/>
  <c r="O300" i="3"/>
  <c r="O20" i="3"/>
  <c r="N20" i="3"/>
  <c r="O47" i="3"/>
  <c r="N47" i="3"/>
  <c r="O40" i="3"/>
  <c r="N40" i="3"/>
  <c r="Z161" i="3" l="1"/>
  <c r="Z167" i="3"/>
  <c r="Z42" i="3"/>
  <c r="Z48" i="3"/>
  <c r="Z163" i="3"/>
  <c r="Z55" i="3"/>
  <c r="Y36" i="3"/>
  <c r="X36" i="3"/>
  <c r="Z172" i="3"/>
  <c r="Y320" i="3"/>
  <c r="Y317" i="3" s="1"/>
  <c r="X320" i="3"/>
  <c r="X317" i="3" s="1"/>
  <c r="X162" i="3"/>
  <c r="Y162" i="3"/>
  <c r="X287" i="3"/>
  <c r="Y287" i="3"/>
  <c r="Z169" i="3"/>
  <c r="Z272" i="3"/>
  <c r="Z158" i="3"/>
  <c r="E299" i="3"/>
  <c r="T299" i="3" s="1"/>
  <c r="E297" i="3"/>
  <c r="D297" i="3"/>
  <c r="D298" i="3"/>
  <c r="E298" i="3"/>
  <c r="E296" i="3"/>
  <c r="D296" i="3"/>
  <c r="E50" i="3"/>
  <c r="E40" i="3"/>
  <c r="D40" i="3"/>
  <c r="E282" i="3"/>
  <c r="E277" i="3"/>
  <c r="E279" i="3" s="1"/>
  <c r="E273" i="3"/>
  <c r="D56" i="3"/>
  <c r="E24" i="3"/>
  <c r="T24" i="3" s="1"/>
  <c r="E23" i="3"/>
  <c r="T23" i="3" s="1"/>
  <c r="E21" i="3"/>
  <c r="T21" i="3" s="1"/>
  <c r="Z320" i="3" l="1"/>
  <c r="Z317" i="3" s="1"/>
  <c r="Z162" i="3"/>
  <c r="Y23" i="3"/>
  <c r="X23" i="3"/>
  <c r="Y24" i="3"/>
  <c r="X24" i="3"/>
  <c r="Y21" i="3"/>
  <c r="X21" i="3"/>
  <c r="Y299" i="3"/>
  <c r="X299" i="3"/>
  <c r="Z287" i="3"/>
  <c r="Z36" i="3"/>
  <c r="E51" i="3"/>
  <c r="E49" i="3"/>
  <c r="E34" i="3" s="1"/>
  <c r="T297" i="3"/>
  <c r="T56" i="3"/>
  <c r="D54" i="3"/>
  <c r="T54" i="3" s="1"/>
  <c r="T40" i="3"/>
  <c r="T298" i="3"/>
  <c r="T296" i="3"/>
  <c r="E301" i="3"/>
  <c r="E20" i="3"/>
  <c r="E280" i="3"/>
  <c r="E278" i="3"/>
  <c r="E300" i="3"/>
  <c r="D20" i="3"/>
  <c r="E47" i="3"/>
  <c r="Z299" i="3" l="1"/>
  <c r="X40" i="3"/>
  <c r="Y40" i="3"/>
  <c r="Y296" i="3"/>
  <c r="X296" i="3"/>
  <c r="Y54" i="3"/>
  <c r="X54" i="3"/>
  <c r="X53" i="3" s="1"/>
  <c r="Z24" i="3"/>
  <c r="X56" i="3"/>
  <c r="Y56" i="3"/>
  <c r="Y298" i="3"/>
  <c r="X298" i="3"/>
  <c r="Y297" i="3"/>
  <c r="X297" i="3"/>
  <c r="Z21" i="3"/>
  <c r="Z23" i="3"/>
  <c r="T20" i="3"/>
  <c r="D301" i="3"/>
  <c r="T301" i="3" s="1"/>
  <c r="D300" i="3"/>
  <c r="T300" i="3" s="1"/>
  <c r="Y53" i="3" l="1"/>
  <c r="Z297" i="3"/>
  <c r="Z40" i="3"/>
  <c r="X20" i="3"/>
  <c r="X11" i="3" s="1"/>
  <c r="Y20" i="3"/>
  <c r="Z296" i="3"/>
  <c r="Y300" i="3"/>
  <c r="X300" i="3"/>
  <c r="X295" i="3" s="1"/>
  <c r="Z298" i="3"/>
  <c r="Y301" i="3"/>
  <c r="Y295" i="3" s="1"/>
  <c r="X301" i="3"/>
  <c r="Z56" i="3"/>
  <c r="Z54" i="3"/>
  <c r="Z53" i="3" s="1"/>
  <c r="D282" i="3"/>
  <c r="T282" i="3" s="1"/>
  <c r="D277" i="3"/>
  <c r="T277" i="3" s="1"/>
  <c r="D292" i="3"/>
  <c r="T271" i="3"/>
  <c r="D274" i="3"/>
  <c r="T274" i="3" s="1"/>
  <c r="Z295" i="3" l="1"/>
  <c r="Z20" i="3"/>
  <c r="Z300" i="3"/>
  <c r="Y277" i="3"/>
  <c r="X277" i="3"/>
  <c r="X274" i="3"/>
  <c r="Y274" i="3"/>
  <c r="Y271" i="3"/>
  <c r="X271" i="3"/>
  <c r="X282" i="3"/>
  <c r="X281" i="3" s="1"/>
  <c r="Y282" i="3"/>
  <c r="Y281" i="3" s="1"/>
  <c r="Z301" i="3"/>
  <c r="T292" i="3"/>
  <c r="D293" i="3"/>
  <c r="T293" i="3" s="1"/>
  <c r="D278" i="3"/>
  <c r="T278" i="3" s="1"/>
  <c r="D273" i="3"/>
  <c r="D291" i="3"/>
  <c r="D279" i="3"/>
  <c r="T279" i="3" s="1"/>
  <c r="D280" i="3"/>
  <c r="T280" i="3" s="1"/>
  <c r="D174" i="3"/>
  <c r="T174" i="3" s="1"/>
  <c r="D154" i="3"/>
  <c r="T154" i="3" s="1"/>
  <c r="D147" i="3"/>
  <c r="T147" i="3" s="1"/>
  <c r="X147" i="3" l="1"/>
  <c r="Y147" i="3"/>
  <c r="Y280" i="3"/>
  <c r="X280" i="3"/>
  <c r="Y278" i="3"/>
  <c r="Y276" i="3" s="1"/>
  <c r="X278" i="3"/>
  <c r="X276" i="3" s="1"/>
  <c r="Z282" i="3"/>
  <c r="Z281" i="3" s="1"/>
  <c r="Z274" i="3"/>
  <c r="X293" i="3"/>
  <c r="Y293" i="3"/>
  <c r="Y279" i="3"/>
  <c r="X279" i="3"/>
  <c r="X154" i="3"/>
  <c r="Y154" i="3"/>
  <c r="X292" i="3"/>
  <c r="Y292" i="3"/>
  <c r="X174" i="3"/>
  <c r="Y174" i="3"/>
  <c r="Z271" i="3"/>
  <c r="Z277" i="3"/>
  <c r="T291" i="3"/>
  <c r="D285" i="3"/>
  <c r="T273" i="3"/>
  <c r="D50" i="3"/>
  <c r="Y142" i="3" l="1"/>
  <c r="X142" i="3"/>
  <c r="Z292" i="3"/>
  <c r="Z174" i="3"/>
  <c r="Z154" i="3"/>
  <c r="Z293" i="3"/>
  <c r="Z147" i="3"/>
  <c r="Z142" i="3" s="1"/>
  <c r="X273" i="3"/>
  <c r="X270" i="3" s="1"/>
  <c r="Y273" i="3"/>
  <c r="Y270" i="3" s="1"/>
  <c r="Z279" i="3"/>
  <c r="Z280" i="3"/>
  <c r="Z276" i="3" s="1"/>
  <c r="X291" i="3"/>
  <c r="Y291" i="3"/>
  <c r="Z278" i="3"/>
  <c r="T50" i="3"/>
  <c r="D49" i="3"/>
  <c r="T49" i="3" s="1"/>
  <c r="D51" i="3"/>
  <c r="T51" i="3" s="1"/>
  <c r="D47" i="3"/>
  <c r="T47" i="3" s="1"/>
  <c r="Z291" i="3" l="1"/>
  <c r="Z273" i="3"/>
  <c r="Z270" i="3" s="1"/>
  <c r="Y50" i="3"/>
  <c r="X50" i="3"/>
  <c r="X51" i="3"/>
  <c r="Y51" i="3"/>
  <c r="X47" i="3"/>
  <c r="Y47" i="3"/>
  <c r="X49" i="3"/>
  <c r="Y49" i="3"/>
  <c r="D34" i="3"/>
  <c r="T34" i="3" s="1"/>
  <c r="Z49" i="3" l="1"/>
  <c r="Z51" i="3"/>
  <c r="Z47" i="3"/>
  <c r="Y34" i="3"/>
  <c r="Y33" i="3" s="1"/>
  <c r="X34" i="3"/>
  <c r="X33" i="3" s="1"/>
  <c r="Z50" i="3"/>
  <c r="Q268" i="1"/>
  <c r="J268" i="1"/>
  <c r="Q314" i="1"/>
  <c r="Q313" i="1"/>
  <c r="Q312" i="1"/>
  <c r="Q311" i="1"/>
  <c r="Q310" i="1"/>
  <c r="Q309" i="1"/>
  <c r="Q308" i="1"/>
  <c r="Q307" i="1"/>
  <c r="Q306" i="1"/>
  <c r="Q304" i="1"/>
  <c r="Q302" i="1"/>
  <c r="Q300" i="1"/>
  <c r="Q298" i="1"/>
  <c r="Q293" i="1"/>
  <c r="Q291" i="1"/>
  <c r="Q289" i="1"/>
  <c r="Q287" i="1"/>
  <c r="Q286" i="1"/>
  <c r="Q285" i="1"/>
  <c r="Q284" i="1"/>
  <c r="Q283" i="1"/>
  <c r="Q281" i="1"/>
  <c r="Q280" i="1"/>
  <c r="Q279" i="1"/>
  <c r="Q278" i="1"/>
  <c r="Q277" i="1"/>
  <c r="Q276" i="1"/>
  <c r="Q274" i="1"/>
  <c r="Q273" i="1"/>
  <c r="Q271" i="1"/>
  <c r="Q270" i="1"/>
  <c r="Q267" i="1"/>
  <c r="Q266" i="1"/>
  <c r="Q265" i="1"/>
  <c r="Q264" i="1"/>
  <c r="Q262" i="1"/>
  <c r="Q261" i="1"/>
  <c r="Q260" i="1"/>
  <c r="Q259" i="1"/>
  <c r="Q258" i="1"/>
  <c r="Q257" i="1"/>
  <c r="Q256" i="1"/>
  <c r="Q255" i="1"/>
  <c r="Q253" i="1"/>
  <c r="Q252" i="1"/>
  <c r="Q251" i="1"/>
  <c r="Q250" i="1"/>
  <c r="Q249" i="1"/>
  <c r="Q248" i="1"/>
  <c r="Q247" i="1"/>
  <c r="Q245" i="1"/>
  <c r="Q242" i="1"/>
  <c r="Q241" i="1"/>
  <c r="Q240" i="1"/>
  <c r="Q239" i="1"/>
  <c r="Q238" i="1"/>
  <c r="Q237" i="1"/>
  <c r="Q236" i="1"/>
  <c r="Q235" i="1"/>
  <c r="Q233" i="1"/>
  <c r="Q232" i="1"/>
  <c r="Q231" i="1"/>
  <c r="Q230" i="1"/>
  <c r="Q229" i="1"/>
  <c r="Q228" i="1"/>
  <c r="Q227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0" i="1"/>
  <c r="Q199" i="1"/>
  <c r="Q198" i="1"/>
  <c r="Q197" i="1"/>
  <c r="Q196" i="1"/>
  <c r="Q195" i="1"/>
  <c r="Q194" i="1"/>
  <c r="Q193" i="1"/>
  <c r="Q192" i="1"/>
  <c r="Q191" i="1"/>
  <c r="Q190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7" i="1"/>
  <c r="Q166" i="1"/>
  <c r="Q165" i="1"/>
  <c r="Q164" i="1"/>
  <c r="Q163" i="1"/>
  <c r="Q162" i="1"/>
  <c r="Q160" i="1"/>
  <c r="Q159" i="1"/>
  <c r="Q158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3" i="1"/>
  <c r="Q122" i="1"/>
  <c r="Q121" i="1"/>
  <c r="Q120" i="1"/>
  <c r="Q119" i="1"/>
  <c r="Q118" i="1"/>
  <c r="Q117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8" i="1"/>
  <c r="Q97" i="1"/>
  <c r="Q96" i="1"/>
  <c r="Q95" i="1"/>
  <c r="Q94" i="1"/>
  <c r="Q93" i="1"/>
  <c r="Q92" i="1"/>
  <c r="Q91" i="1"/>
  <c r="Q90" i="1"/>
  <c r="Q89" i="1"/>
  <c r="Q88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8" i="1"/>
  <c r="Q47" i="1"/>
  <c r="Q46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J314" i="1"/>
  <c r="J313" i="1"/>
  <c r="J312" i="1"/>
  <c r="J311" i="1"/>
  <c r="J310" i="1"/>
  <c r="J309" i="1"/>
  <c r="J308" i="1"/>
  <c r="J307" i="1"/>
  <c r="J306" i="1"/>
  <c r="J304" i="1"/>
  <c r="J302" i="1"/>
  <c r="J300" i="1"/>
  <c r="J298" i="1"/>
  <c r="J293" i="1"/>
  <c r="J291" i="1"/>
  <c r="J289" i="1"/>
  <c r="J287" i="1"/>
  <c r="J286" i="1"/>
  <c r="J285" i="1"/>
  <c r="J284" i="1"/>
  <c r="J283" i="1"/>
  <c r="J281" i="1"/>
  <c r="J280" i="1"/>
  <c r="J279" i="1"/>
  <c r="J278" i="1"/>
  <c r="J277" i="1"/>
  <c r="J276" i="1"/>
  <c r="J274" i="1"/>
  <c r="J273" i="1"/>
  <c r="J271" i="1"/>
  <c r="J270" i="1"/>
  <c r="J264" i="1"/>
  <c r="J262" i="1"/>
  <c r="J261" i="1"/>
  <c r="J260" i="1"/>
  <c r="J259" i="1"/>
  <c r="J258" i="1"/>
  <c r="J257" i="1"/>
  <c r="J256" i="1"/>
  <c r="J255" i="1"/>
  <c r="J253" i="1"/>
  <c r="J252" i="1"/>
  <c r="J251" i="1"/>
  <c r="J250" i="1"/>
  <c r="J249" i="1"/>
  <c r="J248" i="1"/>
  <c r="J247" i="1"/>
  <c r="J245" i="1"/>
  <c r="J242" i="1"/>
  <c r="J241" i="1"/>
  <c r="J240" i="1"/>
  <c r="J239" i="1"/>
  <c r="J238" i="1"/>
  <c r="J237" i="1"/>
  <c r="J236" i="1"/>
  <c r="J235" i="1"/>
  <c r="J232" i="1"/>
  <c r="J231" i="1"/>
  <c r="J230" i="1"/>
  <c r="J229" i="1"/>
  <c r="J228" i="1"/>
  <c r="J225" i="1"/>
  <c r="J224" i="1"/>
  <c r="R224" i="1" s="1"/>
  <c r="J223" i="1"/>
  <c r="R223" i="1" s="1"/>
  <c r="J222" i="1"/>
  <c r="R222" i="1" s="1"/>
  <c r="J221" i="1"/>
  <c r="J220" i="1"/>
  <c r="R220" i="1" s="1"/>
  <c r="J219" i="1"/>
  <c r="R219" i="1" s="1"/>
  <c r="J218" i="1"/>
  <c r="R218" i="1" s="1"/>
  <c r="J217" i="1"/>
  <c r="J216" i="1"/>
  <c r="R216" i="1" s="1"/>
  <c r="J215" i="1"/>
  <c r="R215" i="1" s="1"/>
  <c r="J214" i="1"/>
  <c r="R214" i="1" s="1"/>
  <c r="J213" i="1"/>
  <c r="J212" i="1"/>
  <c r="R212" i="1" s="1"/>
  <c r="J211" i="1"/>
  <c r="R211" i="1" s="1"/>
  <c r="J210" i="1"/>
  <c r="R210" i="1" s="1"/>
  <c r="J209" i="1"/>
  <c r="J208" i="1"/>
  <c r="R208" i="1" s="1"/>
  <c r="J206" i="1"/>
  <c r="J204" i="1"/>
  <c r="J203" i="1"/>
  <c r="J202" i="1"/>
  <c r="J201" i="1"/>
  <c r="J200" i="1"/>
  <c r="J199" i="1"/>
  <c r="J198" i="1"/>
  <c r="J197" i="1"/>
  <c r="J196" i="1"/>
  <c r="J194" i="1"/>
  <c r="J193" i="1"/>
  <c r="J192" i="1"/>
  <c r="J191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7" i="1"/>
  <c r="J166" i="1"/>
  <c r="J165" i="1"/>
  <c r="J164" i="1"/>
  <c r="J163" i="1"/>
  <c r="J162" i="1"/>
  <c r="J160" i="1"/>
  <c r="J159" i="1"/>
  <c r="J15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3" i="1"/>
  <c r="J122" i="1"/>
  <c r="J121" i="1"/>
  <c r="J120" i="1"/>
  <c r="J119" i="1"/>
  <c r="J118" i="1"/>
  <c r="J117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8" i="1"/>
  <c r="J97" i="1"/>
  <c r="J96" i="1"/>
  <c r="J95" i="1"/>
  <c r="J94" i="1"/>
  <c r="J93" i="1"/>
  <c r="J92" i="1"/>
  <c r="J91" i="1"/>
  <c r="J90" i="1"/>
  <c r="J89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K234" i="1"/>
  <c r="Q234" i="1" s="1"/>
  <c r="K201" i="1"/>
  <c r="Q201" i="1" s="1"/>
  <c r="G234" i="1"/>
  <c r="J234" i="1" s="1"/>
  <c r="G227" i="1"/>
  <c r="J227" i="1" s="1"/>
  <c r="G233" i="1"/>
  <c r="J233" i="1" s="1"/>
  <c r="H205" i="1"/>
  <c r="J205" i="1" s="1"/>
  <c r="H207" i="1"/>
  <c r="J207" i="1" s="1"/>
  <c r="R207" i="1" s="1"/>
  <c r="H195" i="1"/>
  <c r="J195" i="1" s="1"/>
  <c r="H190" i="1"/>
  <c r="J190" i="1" s="1"/>
  <c r="U118" i="1"/>
  <c r="U119" i="1"/>
  <c r="U120" i="1"/>
  <c r="U121" i="1"/>
  <c r="U122" i="1"/>
  <c r="U123" i="1"/>
  <c r="U117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00" i="1"/>
  <c r="U90" i="1"/>
  <c r="U91" i="1"/>
  <c r="U92" i="1"/>
  <c r="U93" i="1"/>
  <c r="U94" i="1"/>
  <c r="U95" i="1"/>
  <c r="U96" i="1"/>
  <c r="U97" i="1"/>
  <c r="U98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E243" i="1"/>
  <c r="D243" i="1"/>
  <c r="Z34" i="3" l="1"/>
  <c r="Z33" i="3" s="1"/>
  <c r="Y12" i="3"/>
  <c r="R268" i="1"/>
  <c r="R293" i="1"/>
  <c r="R193" i="1"/>
  <c r="R236" i="1"/>
  <c r="R240" i="1"/>
  <c r="R247" i="1"/>
  <c r="R251" i="1"/>
  <c r="R260" i="1"/>
  <c r="R291" i="1"/>
  <c r="R53" i="1"/>
  <c r="W53" i="1" s="1"/>
  <c r="R57" i="1"/>
  <c r="V57" i="1" s="1"/>
  <c r="R61" i="1"/>
  <c r="V61" i="1" s="1"/>
  <c r="R65" i="1"/>
  <c r="W65" i="1" s="1"/>
  <c r="R69" i="1"/>
  <c r="V69" i="1" s="1"/>
  <c r="R73" i="1"/>
  <c r="W73" i="1" s="1"/>
  <c r="R77" i="1"/>
  <c r="V77" i="1" s="1"/>
  <c r="R81" i="1"/>
  <c r="V81" i="1" s="1"/>
  <c r="R85" i="1"/>
  <c r="V85" i="1" s="1"/>
  <c r="R90" i="1"/>
  <c r="W90" i="1" s="1"/>
  <c r="R94" i="1"/>
  <c r="V94" i="1" s="1"/>
  <c r="R98" i="1"/>
  <c r="V98" i="1" s="1"/>
  <c r="R103" i="1"/>
  <c r="W103" i="1" s="1"/>
  <c r="R107" i="1"/>
  <c r="W107" i="1" s="1"/>
  <c r="R111" i="1"/>
  <c r="W111" i="1" s="1"/>
  <c r="R115" i="1"/>
  <c r="W115" i="1" s="1"/>
  <c r="R120" i="1"/>
  <c r="V120" i="1" s="1"/>
  <c r="R172" i="1"/>
  <c r="R176" i="1"/>
  <c r="R180" i="1"/>
  <c r="R184" i="1"/>
  <c r="R188" i="1"/>
  <c r="R271" i="1"/>
  <c r="R286" i="1"/>
  <c r="R309" i="1"/>
  <c r="R313" i="1"/>
  <c r="R197" i="1"/>
  <c r="R206" i="1"/>
  <c r="R190" i="1"/>
  <c r="R203" i="1"/>
  <c r="R237" i="1"/>
  <c r="R241" i="1"/>
  <c r="R248" i="1"/>
  <c r="R252" i="1"/>
  <c r="R257" i="1"/>
  <c r="R261" i="1"/>
  <c r="R198" i="1"/>
  <c r="R287" i="1"/>
  <c r="R298" i="1"/>
  <c r="R306" i="1"/>
  <c r="R310" i="1"/>
  <c r="R314" i="1"/>
  <c r="R233" i="1"/>
  <c r="R192" i="1"/>
  <c r="R195" i="1"/>
  <c r="R52" i="1"/>
  <c r="V52" i="1" s="1"/>
  <c r="R60" i="1"/>
  <c r="W60" i="1" s="1"/>
  <c r="R68" i="1"/>
  <c r="W68" i="1" s="1"/>
  <c r="R76" i="1"/>
  <c r="W76" i="1" s="1"/>
  <c r="R84" i="1"/>
  <c r="W84" i="1" s="1"/>
  <c r="R97" i="1"/>
  <c r="W97" i="1" s="1"/>
  <c r="R106" i="1"/>
  <c r="V106" i="1" s="1"/>
  <c r="R114" i="1"/>
  <c r="V114" i="1" s="1"/>
  <c r="R123" i="1"/>
  <c r="W123" i="1" s="1"/>
  <c r="R132" i="1"/>
  <c r="R136" i="1"/>
  <c r="R144" i="1"/>
  <c r="R152" i="1"/>
  <c r="R162" i="1"/>
  <c r="R239" i="1"/>
  <c r="R285" i="1"/>
  <c r="R199" i="1"/>
  <c r="R56" i="1"/>
  <c r="V56" i="1" s="1"/>
  <c r="R64" i="1"/>
  <c r="W64" i="1" s="1"/>
  <c r="R72" i="1"/>
  <c r="W72" i="1" s="1"/>
  <c r="R80" i="1"/>
  <c r="W80" i="1" s="1"/>
  <c r="R89" i="1"/>
  <c r="R93" i="1"/>
  <c r="W93" i="1" s="1"/>
  <c r="R102" i="1"/>
  <c r="V102" i="1" s="1"/>
  <c r="R110" i="1"/>
  <c r="V110" i="1" s="1"/>
  <c r="R119" i="1"/>
  <c r="W119" i="1" s="1"/>
  <c r="R128" i="1"/>
  <c r="R140" i="1"/>
  <c r="R148" i="1"/>
  <c r="R156" i="1"/>
  <c r="R166" i="1"/>
  <c r="R10" i="1"/>
  <c r="R14" i="1"/>
  <c r="R18" i="1"/>
  <c r="R22" i="1"/>
  <c r="R26" i="1"/>
  <c r="R31" i="1"/>
  <c r="R191" i="1"/>
  <c r="R204" i="1"/>
  <c r="R228" i="1"/>
  <c r="R232" i="1"/>
  <c r="R238" i="1"/>
  <c r="R242" i="1"/>
  <c r="R253" i="1"/>
  <c r="R258" i="1"/>
  <c r="R262" i="1"/>
  <c r="R273" i="1"/>
  <c r="R278" i="1"/>
  <c r="R283" i="1"/>
  <c r="R46" i="1"/>
  <c r="R51" i="1"/>
  <c r="V51" i="1" s="1"/>
  <c r="R55" i="1"/>
  <c r="V55" i="1" s="1"/>
  <c r="R59" i="1"/>
  <c r="V59" i="1" s="1"/>
  <c r="R63" i="1"/>
  <c r="V63" i="1" s="1"/>
  <c r="R67" i="1"/>
  <c r="V67" i="1" s="1"/>
  <c r="R71" i="1"/>
  <c r="V71" i="1" s="1"/>
  <c r="R75" i="1"/>
  <c r="V75" i="1" s="1"/>
  <c r="R79" i="1"/>
  <c r="V79" i="1" s="1"/>
  <c r="R83" i="1"/>
  <c r="W83" i="1" s="1"/>
  <c r="R88" i="1"/>
  <c r="R92" i="1"/>
  <c r="W92" i="1" s="1"/>
  <c r="R96" i="1"/>
  <c r="W96" i="1" s="1"/>
  <c r="R101" i="1"/>
  <c r="V101" i="1" s="1"/>
  <c r="R105" i="1"/>
  <c r="W105" i="1" s="1"/>
  <c r="R109" i="1"/>
  <c r="V109" i="1" s="1"/>
  <c r="R113" i="1"/>
  <c r="V113" i="1" s="1"/>
  <c r="R118" i="1"/>
  <c r="V118" i="1" s="1"/>
  <c r="R122" i="1"/>
  <c r="V122" i="1" s="1"/>
  <c r="R127" i="1"/>
  <c r="R131" i="1"/>
  <c r="R135" i="1"/>
  <c r="R139" i="1"/>
  <c r="R143" i="1"/>
  <c r="R147" i="1"/>
  <c r="R151" i="1"/>
  <c r="R155" i="1"/>
  <c r="R160" i="1"/>
  <c r="R165" i="1"/>
  <c r="R170" i="1"/>
  <c r="R174" i="1"/>
  <c r="R178" i="1"/>
  <c r="R182" i="1"/>
  <c r="R186" i="1"/>
  <c r="R201" i="1"/>
  <c r="R229" i="1"/>
  <c r="R274" i="1"/>
  <c r="R279" i="1"/>
  <c r="R284" i="1"/>
  <c r="R289" i="1"/>
  <c r="R300" i="1"/>
  <c r="R307" i="1"/>
  <c r="R311" i="1"/>
  <c r="R205" i="1"/>
  <c r="R20" i="1"/>
  <c r="R24" i="1"/>
  <c r="R29" i="1"/>
  <c r="R33" i="1"/>
  <c r="R37" i="1"/>
  <c r="R41" i="1"/>
  <c r="R47" i="1"/>
  <c r="R171" i="1"/>
  <c r="R175" i="1"/>
  <c r="R179" i="1"/>
  <c r="R183" i="1"/>
  <c r="R187" i="1"/>
  <c r="R13" i="1"/>
  <c r="R17" i="1"/>
  <c r="R21" i="1"/>
  <c r="R25" i="1"/>
  <c r="R30" i="1"/>
  <c r="R34" i="1"/>
  <c r="R38" i="1"/>
  <c r="R42" i="1"/>
  <c r="R256" i="1"/>
  <c r="R277" i="1"/>
  <c r="R281" i="1"/>
  <c r="R304" i="1"/>
  <c r="R235" i="1"/>
  <c r="R245" i="1"/>
  <c r="R250" i="1"/>
  <c r="R255" i="1"/>
  <c r="R259" i="1"/>
  <c r="R264" i="1"/>
  <c r="R196" i="1"/>
  <c r="R200" i="1"/>
  <c r="R209" i="1"/>
  <c r="R213" i="1"/>
  <c r="R217" i="1"/>
  <c r="R221" i="1"/>
  <c r="R225" i="1"/>
  <c r="R270" i="1"/>
  <c r="R276" i="1"/>
  <c r="R280" i="1"/>
  <c r="R302" i="1"/>
  <c r="R308" i="1"/>
  <c r="R312" i="1"/>
  <c r="R11" i="1"/>
  <c r="R15" i="1"/>
  <c r="R249" i="1"/>
  <c r="R227" i="1"/>
  <c r="R202" i="1"/>
  <c r="R234" i="1"/>
  <c r="R194" i="1"/>
  <c r="R159" i="1"/>
  <c r="R169" i="1"/>
  <c r="R173" i="1"/>
  <c r="R177" i="1"/>
  <c r="R181" i="1"/>
  <c r="R185" i="1"/>
  <c r="R231" i="1"/>
  <c r="R35" i="1"/>
  <c r="R39" i="1"/>
  <c r="R43" i="1"/>
  <c r="R48" i="1"/>
  <c r="R125" i="1"/>
  <c r="R129" i="1"/>
  <c r="R133" i="1"/>
  <c r="R137" i="1"/>
  <c r="R141" i="1"/>
  <c r="R145" i="1"/>
  <c r="R149" i="1"/>
  <c r="R153" i="1"/>
  <c r="R158" i="1"/>
  <c r="R163" i="1"/>
  <c r="R167" i="1"/>
  <c r="R230" i="1"/>
  <c r="R19" i="1"/>
  <c r="R23" i="1"/>
  <c r="R27" i="1"/>
  <c r="R32" i="1"/>
  <c r="R36" i="1"/>
  <c r="R40" i="1"/>
  <c r="R50" i="1"/>
  <c r="R54" i="1"/>
  <c r="V54" i="1" s="1"/>
  <c r="R58" i="1"/>
  <c r="V58" i="1" s="1"/>
  <c r="R62" i="1"/>
  <c r="V62" i="1" s="1"/>
  <c r="R66" i="1"/>
  <c r="V66" i="1" s="1"/>
  <c r="R70" i="1"/>
  <c r="V70" i="1" s="1"/>
  <c r="R74" i="1"/>
  <c r="V74" i="1" s="1"/>
  <c r="R78" i="1"/>
  <c r="V78" i="1" s="1"/>
  <c r="R82" i="1"/>
  <c r="V82" i="1" s="1"/>
  <c r="R86" i="1"/>
  <c r="V86" i="1" s="1"/>
  <c r="R91" i="1"/>
  <c r="V91" i="1" s="1"/>
  <c r="R95" i="1"/>
  <c r="V95" i="1" s="1"/>
  <c r="R100" i="1"/>
  <c r="W100" i="1" s="1"/>
  <c r="R104" i="1"/>
  <c r="V104" i="1" s="1"/>
  <c r="R108" i="1"/>
  <c r="V108" i="1" s="1"/>
  <c r="R112" i="1"/>
  <c r="W112" i="1" s="1"/>
  <c r="R117" i="1"/>
  <c r="W117" i="1" s="1"/>
  <c r="R121" i="1"/>
  <c r="V121" i="1" s="1"/>
  <c r="R126" i="1"/>
  <c r="R130" i="1"/>
  <c r="R134" i="1"/>
  <c r="R138" i="1"/>
  <c r="R142" i="1"/>
  <c r="R146" i="1"/>
  <c r="R150" i="1"/>
  <c r="R154" i="1"/>
  <c r="R164" i="1"/>
  <c r="R12" i="1"/>
  <c r="R16" i="1"/>
  <c r="D265" i="1"/>
  <c r="J265" i="1" s="1"/>
  <c r="R265" i="1" s="1"/>
  <c r="Z12" i="3" l="1"/>
  <c r="Z11" i="3" s="1"/>
  <c r="Y11" i="3"/>
  <c r="W61" i="1"/>
  <c r="X61" i="1" s="1"/>
  <c r="W77" i="1"/>
  <c r="X77" i="1" s="1"/>
  <c r="V107" i="1"/>
  <c r="X107" i="1" s="1"/>
  <c r="V73" i="1"/>
  <c r="X73" i="1" s="1"/>
  <c r="V76" i="1"/>
  <c r="X76" i="1" s="1"/>
  <c r="W94" i="1"/>
  <c r="X94" i="1" s="1"/>
  <c r="W120" i="1"/>
  <c r="X120" i="1" s="1"/>
  <c r="V93" i="1"/>
  <c r="X93" i="1" s="1"/>
  <c r="V111" i="1"/>
  <c r="X111" i="1" s="1"/>
  <c r="V103" i="1"/>
  <c r="X103" i="1" s="1"/>
  <c r="V119" i="1"/>
  <c r="X119" i="1" s="1"/>
  <c r="W69" i="1"/>
  <c r="X69" i="1" s="1"/>
  <c r="V53" i="1"/>
  <c r="X53" i="1" s="1"/>
  <c r="W85" i="1"/>
  <c r="X85" i="1" s="1"/>
  <c r="V115" i="1"/>
  <c r="X115" i="1" s="1"/>
  <c r="W56" i="1"/>
  <c r="X56" i="1" s="1"/>
  <c r="W63" i="1"/>
  <c r="X63" i="1" s="1"/>
  <c r="V97" i="1"/>
  <c r="X97" i="1" s="1"/>
  <c r="W79" i="1"/>
  <c r="X79" i="1" s="1"/>
  <c r="W98" i="1"/>
  <c r="X98" i="1" s="1"/>
  <c r="W113" i="1"/>
  <c r="X113" i="1" s="1"/>
  <c r="W81" i="1"/>
  <c r="X81" i="1" s="1"/>
  <c r="V96" i="1"/>
  <c r="X96" i="1" s="1"/>
  <c r="V90" i="1"/>
  <c r="X90" i="1" s="1"/>
  <c r="V65" i="1"/>
  <c r="X65" i="1" s="1"/>
  <c r="V60" i="1"/>
  <c r="X60" i="1" s="1"/>
  <c r="W57" i="1"/>
  <c r="X57" i="1" s="1"/>
  <c r="W70" i="1"/>
  <c r="X70" i="1" s="1"/>
  <c r="W114" i="1"/>
  <c r="X114" i="1" s="1"/>
  <c r="W52" i="1"/>
  <c r="X52" i="1" s="1"/>
  <c r="W122" i="1"/>
  <c r="X122" i="1" s="1"/>
  <c r="W59" i="1"/>
  <c r="X59" i="1" s="1"/>
  <c r="V80" i="1"/>
  <c r="X80" i="1" s="1"/>
  <c r="W102" i="1"/>
  <c r="X102" i="1" s="1"/>
  <c r="V117" i="1"/>
  <c r="X117" i="1" s="1"/>
  <c r="V100" i="1"/>
  <c r="X100" i="1" s="1"/>
  <c r="W109" i="1"/>
  <c r="X109" i="1" s="1"/>
  <c r="V105" i="1"/>
  <c r="X105" i="1" s="1"/>
  <c r="W71" i="1"/>
  <c r="X71" i="1" s="1"/>
  <c r="V123" i="1"/>
  <c r="X123" i="1" s="1"/>
  <c r="W78" i="1"/>
  <c r="X78" i="1" s="1"/>
  <c r="V92" i="1"/>
  <c r="X92" i="1" s="1"/>
  <c r="V84" i="1"/>
  <c r="X84" i="1" s="1"/>
  <c r="W95" i="1"/>
  <c r="X95" i="1" s="1"/>
  <c r="W110" i="1"/>
  <c r="X110" i="1" s="1"/>
  <c r="W55" i="1"/>
  <c r="X55" i="1" s="1"/>
  <c r="W75" i="1"/>
  <c r="X75" i="1" s="1"/>
  <c r="V72" i="1"/>
  <c r="X72" i="1" s="1"/>
  <c r="W118" i="1"/>
  <c r="X118" i="1" s="1"/>
  <c r="W106" i="1"/>
  <c r="X106" i="1" s="1"/>
  <c r="W91" i="1"/>
  <c r="X91" i="1" s="1"/>
  <c r="V83" i="1"/>
  <c r="X83" i="1" s="1"/>
  <c r="V112" i="1"/>
  <c r="X112" i="1" s="1"/>
  <c r="W58" i="1"/>
  <c r="X58" i="1" s="1"/>
  <c r="V64" i="1"/>
  <c r="X64" i="1" s="1"/>
  <c r="W62" i="1"/>
  <c r="X62" i="1" s="1"/>
  <c r="W51" i="1"/>
  <c r="X51" i="1" s="1"/>
  <c r="W67" i="1"/>
  <c r="X67" i="1" s="1"/>
  <c r="W101" i="1"/>
  <c r="X101" i="1" s="1"/>
  <c r="W108" i="1"/>
  <c r="X108" i="1" s="1"/>
  <c r="V68" i="1"/>
  <c r="X68" i="1" s="1"/>
  <c r="W54" i="1"/>
  <c r="X54" i="1" s="1"/>
  <c r="W86" i="1"/>
  <c r="X86" i="1" s="1"/>
  <c r="W74" i="1"/>
  <c r="X74" i="1" s="1"/>
  <c r="W104" i="1"/>
  <c r="X104" i="1" s="1"/>
  <c r="W121" i="1"/>
  <c r="X121" i="1" s="1"/>
  <c r="W66" i="1"/>
  <c r="X66" i="1" s="1"/>
  <c r="W82" i="1"/>
  <c r="X82" i="1" s="1"/>
  <c r="D266" i="1"/>
  <c r="J266" i="1" s="1"/>
  <c r="R266" i="1" s="1"/>
  <c r="D267" i="1" l="1"/>
  <c r="J267" i="1" s="1"/>
  <c r="R267" i="1" s="1"/>
  <c r="U44" i="1"/>
  <c r="E44" i="1"/>
  <c r="F44" i="1"/>
  <c r="G44" i="1"/>
  <c r="H44" i="1"/>
  <c r="I44" i="1"/>
  <c r="K44" i="1"/>
  <c r="L44" i="1"/>
  <c r="M44" i="1"/>
  <c r="N44" i="1"/>
  <c r="O44" i="1"/>
  <c r="P44" i="1"/>
  <c r="D44" i="1"/>
  <c r="J44" i="1" l="1"/>
  <c r="Q44" i="1"/>
  <c r="P243" i="1"/>
  <c r="O243" i="1"/>
  <c r="N243" i="1"/>
  <c r="M243" i="1"/>
  <c r="L243" i="1"/>
  <c r="K243" i="1"/>
  <c r="I243" i="1"/>
  <c r="H243" i="1"/>
  <c r="G243" i="1"/>
  <c r="F243" i="1"/>
  <c r="V232" i="1"/>
  <c r="U232" i="1"/>
  <c r="R44" i="1" l="1"/>
  <c r="V44" i="1" s="1"/>
  <c r="J243" i="1"/>
  <c r="Q243" i="1"/>
  <c r="W232" i="1"/>
  <c r="X232" i="1" s="1"/>
  <c r="W44" i="1" l="1"/>
  <c r="X44" i="1" s="1"/>
  <c r="R243" i="1"/>
  <c r="E294" i="1"/>
  <c r="E295" i="1" s="1"/>
  <c r="F294" i="1"/>
  <c r="F295" i="1" s="1"/>
  <c r="G294" i="1"/>
  <c r="G296" i="1" s="1"/>
  <c r="G297" i="1" s="1"/>
  <c r="H294" i="1"/>
  <c r="H295" i="1" s="1"/>
  <c r="I294" i="1"/>
  <c r="I295" i="1" s="1"/>
  <c r="K294" i="1"/>
  <c r="L294" i="1"/>
  <c r="L296" i="1" s="1"/>
  <c r="L297" i="1" s="1"/>
  <c r="M294" i="1"/>
  <c r="M295" i="1" s="1"/>
  <c r="N294" i="1"/>
  <c r="N295" i="1" s="1"/>
  <c r="O294" i="1"/>
  <c r="O295" i="1" s="1"/>
  <c r="P294" i="1"/>
  <c r="P296" i="1" s="1"/>
  <c r="P297" i="1" s="1"/>
  <c r="D294" i="1"/>
  <c r="W298" i="1"/>
  <c r="V298" i="1"/>
  <c r="U298" i="1"/>
  <c r="U296" i="1"/>
  <c r="U295" i="1"/>
  <c r="U294" i="1"/>
  <c r="W293" i="1"/>
  <c r="V293" i="1"/>
  <c r="U293" i="1"/>
  <c r="U287" i="1"/>
  <c r="D296" i="1" l="1"/>
  <c r="J294" i="1"/>
  <c r="K295" i="1"/>
  <c r="Q294" i="1"/>
  <c r="P295" i="1"/>
  <c r="O296" i="1"/>
  <c r="O297" i="1" s="1"/>
  <c r="F296" i="1"/>
  <c r="F297" i="1" s="1"/>
  <c r="G295" i="1"/>
  <c r="K296" i="1"/>
  <c r="L295" i="1"/>
  <c r="D295" i="1"/>
  <c r="X293" i="1"/>
  <c r="X298" i="1"/>
  <c r="N296" i="1"/>
  <c r="N297" i="1" s="1"/>
  <c r="I296" i="1"/>
  <c r="I297" i="1" s="1"/>
  <c r="E296" i="1"/>
  <c r="M296" i="1"/>
  <c r="M297" i="1" s="1"/>
  <c r="H296" i="1"/>
  <c r="H297" i="1" s="1"/>
  <c r="Q295" i="1" l="1"/>
  <c r="J295" i="1"/>
  <c r="R294" i="1"/>
  <c r="V294" i="1" s="1"/>
  <c r="K297" i="1"/>
  <c r="Q297" i="1" s="1"/>
  <c r="Q296" i="1"/>
  <c r="D297" i="1"/>
  <c r="J296" i="1"/>
  <c r="E297" i="1"/>
  <c r="W314" i="1"/>
  <c r="V314" i="1"/>
  <c r="U314" i="1"/>
  <c r="W313" i="1"/>
  <c r="V313" i="1"/>
  <c r="U313" i="1"/>
  <c r="W312" i="1"/>
  <c r="V312" i="1"/>
  <c r="U312" i="1"/>
  <c r="W311" i="1"/>
  <c r="V311" i="1"/>
  <c r="U311" i="1"/>
  <c r="W310" i="1"/>
  <c r="V310" i="1"/>
  <c r="U310" i="1"/>
  <c r="W309" i="1"/>
  <c r="V309" i="1"/>
  <c r="U309" i="1"/>
  <c r="W308" i="1"/>
  <c r="V308" i="1"/>
  <c r="U308" i="1"/>
  <c r="W307" i="1"/>
  <c r="V307" i="1"/>
  <c r="U307" i="1"/>
  <c r="W306" i="1"/>
  <c r="V306" i="1"/>
  <c r="U306" i="1"/>
  <c r="W304" i="1"/>
  <c r="V304" i="1"/>
  <c r="U304" i="1"/>
  <c r="W302" i="1"/>
  <c r="V302" i="1"/>
  <c r="U302" i="1"/>
  <c r="W300" i="1"/>
  <c r="V300" i="1"/>
  <c r="U300" i="1"/>
  <c r="W291" i="1"/>
  <c r="W290" i="1" s="1"/>
  <c r="V291" i="1"/>
  <c r="V290" i="1" s="1"/>
  <c r="U291" i="1"/>
  <c r="W289" i="1"/>
  <c r="V289" i="1"/>
  <c r="V288" i="1" s="1"/>
  <c r="U289" i="1"/>
  <c r="W287" i="1"/>
  <c r="V287" i="1"/>
  <c r="W286" i="1"/>
  <c r="V286" i="1"/>
  <c r="U286" i="1"/>
  <c r="W285" i="1"/>
  <c r="V285" i="1"/>
  <c r="U285" i="1"/>
  <c r="W284" i="1"/>
  <c r="V284" i="1"/>
  <c r="U284" i="1"/>
  <c r="W283" i="1"/>
  <c r="V283" i="1"/>
  <c r="U283" i="1"/>
  <c r="W281" i="1"/>
  <c r="V281" i="1"/>
  <c r="U281" i="1"/>
  <c r="W280" i="1"/>
  <c r="V280" i="1"/>
  <c r="U280" i="1"/>
  <c r="W279" i="1"/>
  <c r="V279" i="1"/>
  <c r="U279" i="1"/>
  <c r="W278" i="1"/>
  <c r="V278" i="1"/>
  <c r="U278" i="1"/>
  <c r="W277" i="1"/>
  <c r="V277" i="1"/>
  <c r="U277" i="1"/>
  <c r="W276" i="1"/>
  <c r="V276" i="1"/>
  <c r="U276" i="1"/>
  <c r="W274" i="1"/>
  <c r="V274" i="1"/>
  <c r="U274" i="1"/>
  <c r="W273" i="1"/>
  <c r="V273" i="1"/>
  <c r="U273" i="1"/>
  <c r="W271" i="1"/>
  <c r="V271" i="1"/>
  <c r="U271" i="1"/>
  <c r="W270" i="1"/>
  <c r="V270" i="1"/>
  <c r="U270" i="1"/>
  <c r="W262" i="1"/>
  <c r="V262" i="1"/>
  <c r="U262" i="1"/>
  <c r="W261" i="1"/>
  <c r="V261" i="1"/>
  <c r="U261" i="1"/>
  <c r="W260" i="1"/>
  <c r="V260" i="1"/>
  <c r="U260" i="1"/>
  <c r="W259" i="1"/>
  <c r="V259" i="1"/>
  <c r="U259" i="1"/>
  <c r="W258" i="1"/>
  <c r="V258" i="1"/>
  <c r="U258" i="1"/>
  <c r="W257" i="1"/>
  <c r="V257" i="1"/>
  <c r="U257" i="1"/>
  <c r="W256" i="1"/>
  <c r="V256" i="1"/>
  <c r="U256" i="1"/>
  <c r="W255" i="1"/>
  <c r="V255" i="1"/>
  <c r="U255" i="1"/>
  <c r="W253" i="1"/>
  <c r="V253" i="1"/>
  <c r="U253" i="1"/>
  <c r="W252" i="1"/>
  <c r="V252" i="1"/>
  <c r="U252" i="1"/>
  <c r="W251" i="1"/>
  <c r="V251" i="1"/>
  <c r="U251" i="1"/>
  <c r="W250" i="1"/>
  <c r="V250" i="1"/>
  <c r="U250" i="1"/>
  <c r="W249" i="1"/>
  <c r="V249" i="1"/>
  <c r="U249" i="1"/>
  <c r="W248" i="1"/>
  <c r="V248" i="1"/>
  <c r="U248" i="1"/>
  <c r="W247" i="1"/>
  <c r="V247" i="1"/>
  <c r="U247" i="1"/>
  <c r="W245" i="1"/>
  <c r="V245" i="1"/>
  <c r="U245" i="1"/>
  <c r="W243" i="1"/>
  <c r="V243" i="1"/>
  <c r="U243" i="1"/>
  <c r="W239" i="1"/>
  <c r="V239" i="1"/>
  <c r="U239" i="1"/>
  <c r="W238" i="1"/>
  <c r="V238" i="1"/>
  <c r="U238" i="1"/>
  <c r="W237" i="1"/>
  <c r="V237" i="1"/>
  <c r="U237" i="1"/>
  <c r="W236" i="1"/>
  <c r="V236" i="1"/>
  <c r="U236" i="1"/>
  <c r="W235" i="1"/>
  <c r="V235" i="1"/>
  <c r="U235" i="1"/>
  <c r="W234" i="1"/>
  <c r="V234" i="1"/>
  <c r="U234" i="1"/>
  <c r="W233" i="1"/>
  <c r="V233" i="1"/>
  <c r="U233" i="1"/>
  <c r="W231" i="1"/>
  <c r="V231" i="1"/>
  <c r="U231" i="1"/>
  <c r="W230" i="1"/>
  <c r="V230" i="1"/>
  <c r="U230" i="1"/>
  <c r="W229" i="1"/>
  <c r="V229" i="1"/>
  <c r="U229" i="1"/>
  <c r="W228" i="1"/>
  <c r="V228" i="1"/>
  <c r="U228" i="1"/>
  <c r="W227" i="1"/>
  <c r="V227" i="1"/>
  <c r="U227" i="1"/>
  <c r="W225" i="1"/>
  <c r="V225" i="1"/>
  <c r="U225" i="1"/>
  <c r="W224" i="1"/>
  <c r="V224" i="1"/>
  <c r="U224" i="1"/>
  <c r="W222" i="1"/>
  <c r="V222" i="1"/>
  <c r="U222" i="1"/>
  <c r="W221" i="1"/>
  <c r="V221" i="1"/>
  <c r="U221" i="1"/>
  <c r="W220" i="1"/>
  <c r="V220" i="1"/>
  <c r="U220" i="1"/>
  <c r="W219" i="1"/>
  <c r="V219" i="1"/>
  <c r="U219" i="1"/>
  <c r="W218" i="1"/>
  <c r="V218" i="1"/>
  <c r="U218" i="1"/>
  <c r="W217" i="1"/>
  <c r="V217" i="1"/>
  <c r="U217" i="1"/>
  <c r="W216" i="1"/>
  <c r="V216" i="1"/>
  <c r="U216" i="1"/>
  <c r="W215" i="1"/>
  <c r="V215" i="1"/>
  <c r="U215" i="1"/>
  <c r="W214" i="1"/>
  <c r="V214" i="1"/>
  <c r="U214" i="1"/>
  <c r="W213" i="1"/>
  <c r="V213" i="1"/>
  <c r="U213" i="1"/>
  <c r="W212" i="1"/>
  <c r="V212" i="1"/>
  <c r="U212" i="1"/>
  <c r="W211" i="1"/>
  <c r="V211" i="1"/>
  <c r="U211" i="1"/>
  <c r="W210" i="1"/>
  <c r="V210" i="1"/>
  <c r="U210" i="1"/>
  <c r="W209" i="1"/>
  <c r="V209" i="1"/>
  <c r="U209" i="1"/>
  <c r="W208" i="1"/>
  <c r="V208" i="1"/>
  <c r="U208" i="1"/>
  <c r="W207" i="1"/>
  <c r="V207" i="1"/>
  <c r="U207" i="1"/>
  <c r="W206" i="1"/>
  <c r="V206" i="1"/>
  <c r="U206" i="1"/>
  <c r="W205" i="1"/>
  <c r="V205" i="1"/>
  <c r="U205" i="1"/>
  <c r="W204" i="1"/>
  <c r="V204" i="1"/>
  <c r="U204" i="1"/>
  <c r="W203" i="1"/>
  <c r="V203" i="1"/>
  <c r="U203" i="1"/>
  <c r="W202" i="1"/>
  <c r="V202" i="1"/>
  <c r="U202" i="1"/>
  <c r="W201" i="1"/>
  <c r="V201" i="1"/>
  <c r="U201" i="1"/>
  <c r="W200" i="1"/>
  <c r="V200" i="1"/>
  <c r="U200" i="1"/>
  <c r="W199" i="1"/>
  <c r="V199" i="1"/>
  <c r="U199" i="1"/>
  <c r="W198" i="1"/>
  <c r="V198" i="1"/>
  <c r="U198" i="1"/>
  <c r="W197" i="1"/>
  <c r="V197" i="1"/>
  <c r="U197" i="1"/>
  <c r="W196" i="1"/>
  <c r="V196" i="1"/>
  <c r="U196" i="1"/>
  <c r="W195" i="1"/>
  <c r="V195" i="1"/>
  <c r="U195" i="1"/>
  <c r="W194" i="1"/>
  <c r="V194" i="1"/>
  <c r="U194" i="1"/>
  <c r="W193" i="1"/>
  <c r="V193" i="1"/>
  <c r="U193" i="1"/>
  <c r="W192" i="1"/>
  <c r="V192" i="1"/>
  <c r="U192" i="1"/>
  <c r="W191" i="1"/>
  <c r="V191" i="1"/>
  <c r="U191" i="1"/>
  <c r="W190" i="1"/>
  <c r="V190" i="1"/>
  <c r="U190" i="1"/>
  <c r="W188" i="1"/>
  <c r="V188" i="1"/>
  <c r="U188" i="1"/>
  <c r="W187" i="1"/>
  <c r="V187" i="1"/>
  <c r="U187" i="1"/>
  <c r="W186" i="1"/>
  <c r="V186" i="1"/>
  <c r="U186" i="1"/>
  <c r="W185" i="1"/>
  <c r="V185" i="1"/>
  <c r="U185" i="1"/>
  <c r="W184" i="1"/>
  <c r="V184" i="1"/>
  <c r="U184" i="1"/>
  <c r="W183" i="1"/>
  <c r="V183" i="1"/>
  <c r="U183" i="1"/>
  <c r="W182" i="1"/>
  <c r="V182" i="1"/>
  <c r="U182" i="1"/>
  <c r="W181" i="1"/>
  <c r="V181" i="1"/>
  <c r="U181" i="1"/>
  <c r="W180" i="1"/>
  <c r="V180" i="1"/>
  <c r="U180" i="1"/>
  <c r="W179" i="1"/>
  <c r="V179" i="1"/>
  <c r="U179" i="1"/>
  <c r="W178" i="1"/>
  <c r="V178" i="1"/>
  <c r="U178" i="1"/>
  <c r="W177" i="1"/>
  <c r="V177" i="1"/>
  <c r="U177" i="1"/>
  <c r="W176" i="1"/>
  <c r="V176" i="1"/>
  <c r="U176" i="1"/>
  <c r="W175" i="1"/>
  <c r="V175" i="1"/>
  <c r="U175" i="1"/>
  <c r="W174" i="1"/>
  <c r="V174" i="1"/>
  <c r="U174" i="1"/>
  <c r="W173" i="1"/>
  <c r="V173" i="1"/>
  <c r="U173" i="1"/>
  <c r="W172" i="1"/>
  <c r="V172" i="1"/>
  <c r="U172" i="1"/>
  <c r="W171" i="1"/>
  <c r="V171" i="1"/>
  <c r="U171" i="1"/>
  <c r="W170" i="1"/>
  <c r="V170" i="1"/>
  <c r="U170" i="1"/>
  <c r="W169" i="1"/>
  <c r="V169" i="1"/>
  <c r="U169" i="1"/>
  <c r="W167" i="1"/>
  <c r="V167" i="1"/>
  <c r="U167" i="1"/>
  <c r="W166" i="1"/>
  <c r="V166" i="1"/>
  <c r="U166" i="1"/>
  <c r="W165" i="1"/>
  <c r="V165" i="1"/>
  <c r="U165" i="1"/>
  <c r="W164" i="1"/>
  <c r="V164" i="1"/>
  <c r="U164" i="1"/>
  <c r="W163" i="1"/>
  <c r="V163" i="1"/>
  <c r="U163" i="1"/>
  <c r="W162" i="1"/>
  <c r="V162" i="1"/>
  <c r="U162" i="1"/>
  <c r="W160" i="1"/>
  <c r="V160" i="1"/>
  <c r="U160" i="1"/>
  <c r="W159" i="1"/>
  <c r="V159" i="1"/>
  <c r="U159" i="1"/>
  <c r="W158" i="1"/>
  <c r="V158" i="1"/>
  <c r="U158" i="1"/>
  <c r="W156" i="1"/>
  <c r="V156" i="1"/>
  <c r="U156" i="1"/>
  <c r="W154" i="1"/>
  <c r="V154" i="1"/>
  <c r="U154" i="1"/>
  <c r="W153" i="1"/>
  <c r="V153" i="1"/>
  <c r="U153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0" i="1"/>
  <c r="V130" i="1"/>
  <c r="U130" i="1"/>
  <c r="W129" i="1"/>
  <c r="V129" i="1"/>
  <c r="U129" i="1"/>
  <c r="W128" i="1"/>
  <c r="V128" i="1"/>
  <c r="U128" i="1"/>
  <c r="W127" i="1"/>
  <c r="V127" i="1"/>
  <c r="U127" i="1"/>
  <c r="W126" i="1"/>
  <c r="V126" i="1"/>
  <c r="U126" i="1"/>
  <c r="W125" i="1"/>
  <c r="V125" i="1"/>
  <c r="U125" i="1"/>
  <c r="W89" i="1"/>
  <c r="V89" i="1"/>
  <c r="U89" i="1"/>
  <c r="W88" i="1"/>
  <c r="V88" i="1"/>
  <c r="U88" i="1"/>
  <c r="W50" i="1"/>
  <c r="V50" i="1"/>
  <c r="U50" i="1"/>
  <c r="W48" i="1"/>
  <c r="V48" i="1"/>
  <c r="U48" i="1"/>
  <c r="W47" i="1"/>
  <c r="V47" i="1"/>
  <c r="U47" i="1"/>
  <c r="W46" i="1"/>
  <c r="V46" i="1"/>
  <c r="U46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U39" i="1"/>
  <c r="W38" i="1"/>
  <c r="V38" i="1"/>
  <c r="U38" i="1"/>
  <c r="W37" i="1"/>
  <c r="V37" i="1"/>
  <c r="U37" i="1"/>
  <c r="W36" i="1"/>
  <c r="V36" i="1"/>
  <c r="U36" i="1"/>
  <c r="W35" i="1"/>
  <c r="V35" i="1"/>
  <c r="U35" i="1"/>
  <c r="W34" i="1"/>
  <c r="V34" i="1"/>
  <c r="U34" i="1"/>
  <c r="W33" i="1"/>
  <c r="V33" i="1"/>
  <c r="U33" i="1"/>
  <c r="W32" i="1"/>
  <c r="V32" i="1"/>
  <c r="U32" i="1"/>
  <c r="W31" i="1"/>
  <c r="V31" i="1"/>
  <c r="U31" i="1"/>
  <c r="W30" i="1"/>
  <c r="V30" i="1"/>
  <c r="U30" i="1"/>
  <c r="W29" i="1"/>
  <c r="V29" i="1"/>
  <c r="U29" i="1"/>
  <c r="W27" i="1"/>
  <c r="V27" i="1"/>
  <c r="U27" i="1"/>
  <c r="W26" i="1"/>
  <c r="V26" i="1"/>
  <c r="U26" i="1"/>
  <c r="W25" i="1"/>
  <c r="V25" i="1"/>
  <c r="U25" i="1"/>
  <c r="W24" i="1"/>
  <c r="V24" i="1"/>
  <c r="U24" i="1"/>
  <c r="W23" i="1"/>
  <c r="V23" i="1"/>
  <c r="U23" i="1"/>
  <c r="W22" i="1"/>
  <c r="V22" i="1"/>
  <c r="U22" i="1"/>
  <c r="W21" i="1"/>
  <c r="V21" i="1"/>
  <c r="U21" i="1"/>
  <c r="W20" i="1"/>
  <c r="V20" i="1"/>
  <c r="U20" i="1"/>
  <c r="W19" i="1"/>
  <c r="V19" i="1"/>
  <c r="U19" i="1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U10" i="1"/>
  <c r="W10" i="1"/>
  <c r="V10" i="1"/>
  <c r="R295" i="1" l="1"/>
  <c r="V295" i="1" s="1"/>
  <c r="W294" i="1"/>
  <c r="X294" i="1" s="1"/>
  <c r="J297" i="1"/>
  <c r="R297" i="1" s="1"/>
  <c r="R296" i="1"/>
  <c r="W296" i="1" s="1"/>
  <c r="X171" i="1"/>
  <c r="X175" i="1"/>
  <c r="X179" i="1"/>
  <c r="X141" i="1"/>
  <c r="X38" i="1"/>
  <c r="X42" i="1"/>
  <c r="X48" i="1"/>
  <c r="X126" i="1"/>
  <c r="X129" i="1"/>
  <c r="X134" i="1"/>
  <c r="X137" i="1"/>
  <c r="X145" i="1"/>
  <c r="X149" i="1"/>
  <c r="X154" i="1"/>
  <c r="V269" i="1"/>
  <c r="X306" i="1"/>
  <c r="X310" i="1"/>
  <c r="X314" i="1"/>
  <c r="X207" i="1"/>
  <c r="X211" i="1"/>
  <c r="X227" i="1"/>
  <c r="X236" i="1"/>
  <c r="X243" i="1"/>
  <c r="X249" i="1"/>
  <c r="X253" i="1"/>
  <c r="X258" i="1"/>
  <c r="X262" i="1"/>
  <c r="X132" i="1"/>
  <c r="X147" i="1"/>
  <c r="X158" i="1"/>
  <c r="X184" i="1"/>
  <c r="X188" i="1"/>
  <c r="X193" i="1"/>
  <c r="X199" i="1"/>
  <c r="X203" i="1"/>
  <c r="X215" i="1"/>
  <c r="X218" i="1"/>
  <c r="X221" i="1"/>
  <c r="X231" i="1"/>
  <c r="X169" i="1"/>
  <c r="X173" i="1"/>
  <c r="X177" i="1"/>
  <c r="X181" i="1"/>
  <c r="V275" i="1"/>
  <c r="X283" i="1"/>
  <c r="X287" i="1"/>
  <c r="X302" i="1"/>
  <c r="X308" i="1"/>
  <c r="X88" i="1"/>
  <c r="V124" i="1"/>
  <c r="V299" i="1"/>
  <c r="X10" i="1"/>
  <c r="V157" i="1"/>
  <c r="X164" i="1"/>
  <c r="W168" i="1"/>
  <c r="X190" i="1"/>
  <c r="X196" i="1"/>
  <c r="X204" i="1"/>
  <c r="X228" i="1"/>
  <c r="X237" i="1"/>
  <c r="X245" i="1"/>
  <c r="W254" i="1"/>
  <c r="X270" i="1"/>
  <c r="W269" i="1"/>
  <c r="X286" i="1"/>
  <c r="W299" i="1"/>
  <c r="X14" i="1"/>
  <c r="X18" i="1"/>
  <c r="X22" i="1"/>
  <c r="X26" i="1"/>
  <c r="X89" i="1"/>
  <c r="X142" i="1"/>
  <c r="X156" i="1"/>
  <c r="X162" i="1"/>
  <c r="V161" i="1"/>
  <c r="X166" i="1"/>
  <c r="X170" i="1"/>
  <c r="X174" i="1"/>
  <c r="X178" i="1"/>
  <c r="X182" i="1"/>
  <c r="V189" i="1"/>
  <c r="X192" i="1"/>
  <c r="X195" i="1"/>
  <c r="X198" i="1"/>
  <c r="X202" i="1"/>
  <c r="X206" i="1"/>
  <c r="X210" i="1"/>
  <c r="X214" i="1"/>
  <c r="X217" i="1"/>
  <c r="X220" i="1"/>
  <c r="X225" i="1"/>
  <c r="X230" i="1"/>
  <c r="X235" i="1"/>
  <c r="X239" i="1"/>
  <c r="X248" i="1"/>
  <c r="X252" i="1"/>
  <c r="V254" i="1"/>
  <c r="X257" i="1"/>
  <c r="X261" i="1"/>
  <c r="V272" i="1"/>
  <c r="X274" i="1"/>
  <c r="X279" i="1"/>
  <c r="V282" i="1"/>
  <c r="X291" i="1"/>
  <c r="X290" i="1" s="1"/>
  <c r="W124" i="1"/>
  <c r="X133" i="1"/>
  <c r="X136" i="1"/>
  <c r="X140" i="1"/>
  <c r="X144" i="1"/>
  <c r="X148" i="1"/>
  <c r="X153" i="1"/>
  <c r="X128" i="1"/>
  <c r="X139" i="1"/>
  <c r="X143" i="1"/>
  <c r="X151" i="1"/>
  <c r="X127" i="1"/>
  <c r="X130" i="1"/>
  <c r="X135" i="1"/>
  <c r="X138" i="1"/>
  <c r="X146" i="1"/>
  <c r="X150" i="1"/>
  <c r="W157" i="1"/>
  <c r="X160" i="1"/>
  <c r="X159" i="1"/>
  <c r="X165" i="1"/>
  <c r="W161" i="1"/>
  <c r="X163" i="1"/>
  <c r="X167" i="1"/>
  <c r="X191" i="1"/>
  <c r="X194" i="1"/>
  <c r="X197" i="1"/>
  <c r="X201" i="1"/>
  <c r="X205" i="1"/>
  <c r="X209" i="1"/>
  <c r="X213" i="1"/>
  <c r="X216" i="1"/>
  <c r="X224" i="1"/>
  <c r="X229" i="1"/>
  <c r="X234" i="1"/>
  <c r="X238" i="1"/>
  <c r="X247" i="1"/>
  <c r="X251" i="1"/>
  <c r="W189" i="1"/>
  <c r="X200" i="1"/>
  <c r="X208" i="1"/>
  <c r="X212" i="1"/>
  <c r="X219" i="1"/>
  <c r="X222" i="1"/>
  <c r="X233" i="1"/>
  <c r="X250" i="1"/>
  <c r="X183" i="1"/>
  <c r="X187" i="1"/>
  <c r="V168" i="1"/>
  <c r="X186" i="1"/>
  <c r="X172" i="1"/>
  <c r="X176" i="1"/>
  <c r="X180" i="1"/>
  <c r="X185" i="1"/>
  <c r="X256" i="1"/>
  <c r="X260" i="1"/>
  <c r="X255" i="1"/>
  <c r="X259" i="1"/>
  <c r="X271" i="1"/>
  <c r="X273" i="1"/>
  <c r="W272" i="1"/>
  <c r="X278" i="1"/>
  <c r="X277" i="1"/>
  <c r="X281" i="1"/>
  <c r="W275" i="1"/>
  <c r="X276" i="1"/>
  <c r="X280" i="1"/>
  <c r="X289" i="1"/>
  <c r="X288" i="1" s="1"/>
  <c r="W288" i="1"/>
  <c r="X285" i="1"/>
  <c r="X284" i="1"/>
  <c r="W282" i="1"/>
  <c r="X304" i="1"/>
  <c r="X309" i="1"/>
  <c r="X313" i="1"/>
  <c r="X312" i="1"/>
  <c r="X300" i="1"/>
  <c r="X307" i="1"/>
  <c r="X311" i="1"/>
  <c r="X125" i="1"/>
  <c r="X31" i="1"/>
  <c r="V28" i="1"/>
  <c r="X30" i="1"/>
  <c r="X34" i="1"/>
  <c r="X35" i="1"/>
  <c r="V45" i="1"/>
  <c r="X47" i="1"/>
  <c r="W45" i="1"/>
  <c r="V49" i="1"/>
  <c r="X39" i="1"/>
  <c r="X43" i="1"/>
  <c r="W49" i="1"/>
  <c r="X32" i="1"/>
  <c r="X36" i="1"/>
  <c r="X40" i="1"/>
  <c r="W28" i="1"/>
  <c r="X33" i="1"/>
  <c r="X37" i="1"/>
  <c r="X41" i="1"/>
  <c r="X50" i="1"/>
  <c r="X46" i="1"/>
  <c r="X29" i="1"/>
  <c r="X17" i="1"/>
  <c r="X21" i="1"/>
  <c r="X25" i="1"/>
  <c r="X12" i="1"/>
  <c r="X16" i="1"/>
  <c r="X20" i="1"/>
  <c r="X24" i="1"/>
  <c r="W9" i="1"/>
  <c r="X11" i="1"/>
  <c r="X15" i="1"/>
  <c r="X19" i="1"/>
  <c r="X23" i="1"/>
  <c r="X27" i="1"/>
  <c r="V9" i="1"/>
  <c r="X13" i="1"/>
  <c r="W295" i="1" l="1"/>
  <c r="X295" i="1" s="1"/>
  <c r="V296" i="1"/>
  <c r="X296" i="1" s="1"/>
  <c r="W315" i="1"/>
  <c r="V315" i="1"/>
  <c r="X124" i="1"/>
  <c r="X272" i="1"/>
  <c r="X269" i="1"/>
  <c r="X254" i="1"/>
  <c r="X161" i="1"/>
  <c r="X282" i="1"/>
  <c r="X168" i="1"/>
  <c r="X189" i="1"/>
  <c r="X49" i="1"/>
  <c r="X157" i="1"/>
  <c r="X45" i="1"/>
  <c r="X275" i="1"/>
  <c r="X299" i="1"/>
  <c r="X28" i="1"/>
  <c r="X9" i="1"/>
  <c r="X315" i="1" l="1"/>
  <c r="X316" i="1" s="1"/>
  <c r="T290" i="3"/>
  <c r="T289" i="3"/>
  <c r="T285" i="3"/>
  <c r="Y285" i="3" l="1"/>
  <c r="X285" i="3"/>
  <c r="X289" i="3"/>
  <c r="Y289" i="3"/>
  <c r="X290" i="3"/>
  <c r="Y290" i="3"/>
  <c r="Y284" i="3" l="1"/>
  <c r="X284" i="3"/>
  <c r="X331" i="3"/>
  <c r="Y331" i="3"/>
  <c r="Z285" i="3"/>
  <c r="Z289" i="3"/>
  <c r="Z290" i="3"/>
  <c r="Z284" i="3" l="1"/>
  <c r="Z3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Зарьянов Никита Сергеевич</author>
  </authors>
  <commentList>
    <comment ref="B7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Зарьянов Никита Сергеевич:</t>
        </r>
        <r>
          <rPr>
            <sz val="9"/>
            <color indexed="81"/>
            <rFont val="Tahoma"/>
            <family val="2"/>
            <charset val="204"/>
          </rPr>
          <t xml:space="preserve">
Возможно оставить данную позицию. Так как она не учитывалась в объемах вент.фасада.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Зарьянов Никита Сергеевич</author>
    <author>Никулин Николай Николаевич</author>
  </authors>
  <commentList>
    <comment ref="B6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Зарьянов Никита Сергеевич:</t>
        </r>
        <r>
          <rPr>
            <sz val="9"/>
            <color indexed="81"/>
            <rFont val="Tahoma"/>
            <family val="2"/>
            <charset val="204"/>
          </rPr>
          <t xml:space="preserve">
полукруг</t>
        </r>
      </text>
    </comment>
    <comment ref="B6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Зарьянов Никита Сергеевич:</t>
        </r>
        <r>
          <rPr>
            <sz val="9"/>
            <color indexed="81"/>
            <rFont val="Tahoma"/>
            <family val="2"/>
            <charset val="204"/>
          </rPr>
          <t xml:space="preserve">
полукруг</t>
        </r>
      </text>
    </comment>
    <comment ref="B7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Зарьянов Никита Сергеевич:</t>
        </r>
        <r>
          <rPr>
            <sz val="9"/>
            <color indexed="81"/>
            <rFont val="Tahoma"/>
            <family val="2"/>
            <charset val="204"/>
          </rPr>
          <t xml:space="preserve">
полукруг</t>
        </r>
      </text>
    </comment>
    <comment ref="B261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Зарьянов Никита Сергеевич:</t>
        </r>
        <r>
          <rPr>
            <sz val="9"/>
            <color indexed="81"/>
            <rFont val="Tahoma"/>
            <family val="2"/>
            <charset val="204"/>
          </rPr>
          <t xml:space="preserve">
нетв м.п.</t>
        </r>
      </text>
    </comment>
    <comment ref="D295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Никулин Николай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Должна быть кратная цифра</t>
        </r>
      </text>
    </comment>
  </commentList>
</comments>
</file>

<file path=xl/sharedStrings.xml><?xml version="1.0" encoding="utf-8"?>
<sst xmlns="http://schemas.openxmlformats.org/spreadsheetml/2006/main" count="1970" uniqueCount="967">
  <si>
    <t>№</t>
  </si>
  <si>
    <t>Наименование</t>
  </si>
  <si>
    <t>Ед.изм.</t>
  </si>
  <si>
    <t>Секция 14</t>
  </si>
  <si>
    <t>Секция 15</t>
  </si>
  <si>
    <t>Секция 16</t>
  </si>
  <si>
    <t>Секция 17</t>
  </si>
  <si>
    <t>Секция 19</t>
  </si>
  <si>
    <t>Секция 18</t>
  </si>
  <si>
    <t>Секция 20</t>
  </si>
  <si>
    <t>Секция 21</t>
  </si>
  <si>
    <t>Секция 22</t>
  </si>
  <si>
    <t>Секция 23</t>
  </si>
  <si>
    <t>Секция 24</t>
  </si>
  <si>
    <t>Секция 25</t>
  </si>
  <si>
    <t>Кол-во общее</t>
  </si>
  <si>
    <t>Жилой дом №7 секции 14, 15, 16, 17, 18, 19, 20, 21, 22, 23, 24, 25</t>
  </si>
  <si>
    <t>1.1</t>
  </si>
  <si>
    <t>Устройство цоколя</t>
  </si>
  <si>
    <t>1.1.1</t>
  </si>
  <si>
    <t xml:space="preserve">Утепление экструзионным пенополистиролом толщиной 100мм </t>
  </si>
  <si>
    <t>м3</t>
  </si>
  <si>
    <t>1.1.2</t>
  </si>
  <si>
    <t>Утепление экструзионным пенополистиролом  (2 слоя, толщ. 100+200мм)</t>
  </si>
  <si>
    <t>1.1.3</t>
  </si>
  <si>
    <t>Утепление экструзионным пенополистиролом толщиной (2 слоя, толщ. 100+250мм)</t>
  </si>
  <si>
    <t>1.1.4</t>
  </si>
  <si>
    <t>Утепление экструзионным пенополистиролом толщиной 150мм (2 слоя, толщ. 100+75мм)</t>
  </si>
  <si>
    <t>1.1.5</t>
  </si>
  <si>
    <t>Утепление экструзионным пенополистиролом толщиной  (2 слоя, толщ. 100+150мм)</t>
  </si>
  <si>
    <t>1.1.6</t>
  </si>
  <si>
    <t>Утепление экструзионным пенополистиролом толщиной (2 слоя, толщ. 100+100мм)</t>
  </si>
  <si>
    <t>1.1.7</t>
  </si>
  <si>
    <t>Утепление экструзионным пенополистиролом толщиной (2 слоя, толщ. 100+50мм)</t>
  </si>
  <si>
    <t>1.1.8</t>
  </si>
  <si>
    <t>Утепление мин.ватной плитой Rockwool "Фасад Баттс" (плотность 130кг/м3, 2 слоя толщ. 150+100мм)</t>
  </si>
  <si>
    <t>1.1.9</t>
  </si>
  <si>
    <t xml:space="preserve">Устройство штукатурки из цементно-песчаного М100 раствора по металлической сетке толщиной 20-30мм </t>
  </si>
  <si>
    <t>м2</t>
  </si>
  <si>
    <t>1.1.10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</si>
  <si>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RAL8028</t>
  </si>
  <si>
    <t>1.1.11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</si>
  <si>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RAL320-5</t>
  </si>
  <si>
    <t>1.1.12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</si>
  <si>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RAL530-2</t>
  </si>
  <si>
    <t>1.1.13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</si>
  <si>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RAL3022</t>
  </si>
  <si>
    <t>1.1.14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</si>
  <si>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RAL1024</t>
  </si>
  <si>
    <t>1.1.15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</si>
  <si>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RAL140-6</t>
  </si>
  <si>
    <t>1.1.16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</si>
  <si>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RAL160-3</t>
  </si>
  <si>
    <t>1.1.17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</si>
  <si>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RAL7005</t>
  </si>
  <si>
    <t>1.1.18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</si>
  <si>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RAL420-3</t>
  </si>
  <si>
    <t>1.2</t>
  </si>
  <si>
    <t>Устройство фасада с тонким штукатурным слоем BERGAUF (в том числе: арок, проездов, парапетов, частично встроенной автостоянки, вентшахт, выходов на кровли) (с учетом разработки необходимой документации и ППР с последующим согласованием с Заказчиком и Генпроектировщиком)</t>
  </si>
  <si>
    <t>1.2.1</t>
  </si>
  <si>
    <t>Грунтовка поверхности (при необходимости)</t>
  </si>
  <si>
    <t>1.2.2</t>
  </si>
  <si>
    <t>Утепление минераловатными плитами Rockwool Фасад Баттс или аналог плотностью 130 кг/м3 на клеевой состав и тарельчатые дюбели толщиной 50мм</t>
  </si>
  <si>
    <t>1.2.3</t>
  </si>
  <si>
    <t>Утепление минераловатными плитами Rockwool Фасад Баттс или аналог плотностью 130 кг/м3 на клеевой состав и тарельчатые дюбели толщиной 100мм</t>
  </si>
  <si>
    <t>1.2.4</t>
  </si>
  <si>
    <t>Утепление минераловатными плитами Rockwool Фасад Баттс или аналог плотностью 130 кг/м3 на клеевой состав и тарельчатые дюбели толщиной 150мм</t>
  </si>
  <si>
    <t>1.2.5</t>
  </si>
  <si>
    <t>Утепление минераловатными плитами Rockwool Фасад Баттс или аналог плотностью 130 кг/м3 на клеевой состав и тарельчатые дюбели толщиной 200мм</t>
  </si>
  <si>
    <t>1.2.6</t>
  </si>
  <si>
    <t>Утепление минераловатными плитами Rockwool Фасад Баттс или аналог плотностью 130 кг/м3 на клеевой состав и тарельчатые дюбели толщиной 230мм</t>
  </si>
  <si>
    <t>1.2.7</t>
  </si>
  <si>
    <t>Утепление минераловатными плитами Rockwool Фасад Баттс или аналог плотностью 130 кг/м3 на клеевой состав и тарельчатые дюбели толщиной 250мм</t>
  </si>
  <si>
    <t>1.2.8</t>
  </si>
  <si>
    <t>Утепление минераловатными плитами Rockwool Фасад Баттс или аналог плотностью 130 кг/м3 на клеевой состав и тарельчатые дюбели толщиной 300мм</t>
  </si>
  <si>
    <t>1.2.9</t>
  </si>
  <si>
    <t>Утепление потолков минераловатными плитами Rockwool Фасад Баттс или Фасад Оптима Д плотностью 130 кг/м3 на клеевой состав и тарельчатые дюбели толщиной 100мм</t>
  </si>
  <si>
    <t>1.2.10</t>
  </si>
  <si>
    <t>Утепление потолков минераловатными плитами Rockwool Фасад Баттс или Фасад Оптима Д плотностью 130 кг/м3 на клеевой состав и тарельчатые дюбели толщиной 150мм</t>
  </si>
  <si>
    <t>1.2.11</t>
  </si>
  <si>
    <t>Утепление потолков минераловатными плитами Rockwool Фасад Баттс или Фасад Оптима Д плотностью 130 кг/м3 на клеевой состав и тарельчатые дюбели толщиной 180мм</t>
  </si>
  <si>
    <t>1.2.12</t>
  </si>
  <si>
    <t>Устройство армирующего слоя потолков по стеклотканевой сетке</t>
  </si>
  <si>
    <t>1.2.13</t>
  </si>
  <si>
    <t>Облицовка аквапанелями толщиной 12,5 мм</t>
  </si>
  <si>
    <t>1.2.14</t>
  </si>
  <si>
    <t xml:space="preserve">Устройство армирующего слоя по стеклотканевой сетке, включая угловые элементы, профили оконного примыкания, защитные элементы профиля, уплотнительные ленты, фасадный герметик, капельники и т.д. </t>
  </si>
  <si>
    <t>1.2.15</t>
  </si>
  <si>
    <t xml:space="preserve">Устройство тонкослойной фасадной штукатурки 6-8 мм BERGAUF (RAL в соответствии с рабочей документацией) </t>
  </si>
  <si>
    <t>1.3</t>
  </si>
  <si>
    <t>1.3.1</t>
  </si>
  <si>
    <t>Устройство оцинкованной подсистемы со скрытым креплением</t>
  </si>
  <si>
    <t>1.3.2</t>
  </si>
  <si>
    <t>Утепление минераловатными плитами Rockwool  Венти Баттс или аналог плотностью 90 кг/м3 на клеевой состав и тарельчатые дюбели толщиной 150мм</t>
  </si>
  <si>
    <t>1.3.3</t>
  </si>
  <si>
    <t>Устройство фасадной плитки, имитрующей кирпичную кладку, "White Hills" Лондон брик II, арт. F340-90, спец.цвет 7416/2906/21.</t>
  </si>
  <si>
    <t>1.4</t>
  </si>
  <si>
    <t>Устройство декоративных элементов</t>
  </si>
  <si>
    <t>шт</t>
  </si>
  <si>
    <t>1.4.2</t>
  </si>
  <si>
    <t>1.4.3</t>
  </si>
  <si>
    <t>1.4.4</t>
  </si>
  <si>
    <t>м.п.</t>
  </si>
  <si>
    <t>ДЭ-Часы.Декоративный элемент фасада
выполнены из металлокаркаса,
окрашенного в заводских условиях,
производство ''ООО БигКлок'' или
аналог.RAL 9011, 9016</t>
  </si>
  <si>
    <t>1.5</t>
  </si>
  <si>
    <t xml:space="preserve">Нащельники. </t>
  </si>
  <si>
    <t>1.5.1</t>
  </si>
  <si>
    <t>Н1.Декоративный элемент
фасада - металлический
нащельник.1680х600.RAL 8017</t>
  </si>
  <si>
    <t>1.5.2</t>
  </si>
  <si>
    <t>Н1.Декоративный элемент
фасада - металлический
нащельник.2430х420.RAL 8017</t>
  </si>
  <si>
    <t>1.5.3</t>
  </si>
  <si>
    <t>Н1.Декоративный элемент
фасада - металлический
нащельник.2400х635.RAL 8017</t>
  </si>
  <si>
    <t>1.5.4</t>
  </si>
  <si>
    <t>Н1.Декоративный элемент
фасада - металлический
нащельник.2830х550.RAL 8017</t>
  </si>
  <si>
    <t>1.5.6</t>
  </si>
  <si>
    <t>Н1.Декоративный элемент
фасада - металлический
нащельник.1700х520.Рама-RAL 8017.Панель- RAL 7044</t>
  </si>
  <si>
    <t>1.5.7</t>
  </si>
  <si>
    <t>Н2.Декоративный элемент
фасада - металлический
нащельник.2400х570.RAL 8017</t>
  </si>
  <si>
    <t>1.5.8</t>
  </si>
  <si>
    <t>Н2.Декоративный элемент
фасада - металлический
нащельник.800х420.RAL 8017</t>
  </si>
  <si>
    <t>1.5.9</t>
  </si>
  <si>
    <t>Н2.Декоративный элемент
фасада - металлический
нащельник.1300х450.RAL 8017</t>
  </si>
  <si>
    <t>1.5.10</t>
  </si>
  <si>
    <t>Н2.Декоративный элемент
фасада - металлический
нащельник.2830х550.RAL 8017</t>
  </si>
  <si>
    <t>1.5.11</t>
  </si>
  <si>
    <t>Н2.Декоративный элемент
фасада - металлический
нащельник.2830х400.RAL 8017</t>
  </si>
  <si>
    <t>1.5.13</t>
  </si>
  <si>
    <t>Н3.Декоративный элемент
фасада - металлический
нащельник.2400х570.RAL 8017</t>
  </si>
  <si>
    <t>1.5.14</t>
  </si>
  <si>
    <t>Н3.Декоративный элемент
фасада - металлический
нащельник.830х570.RAL 8017</t>
  </si>
  <si>
    <t>1.5.15</t>
  </si>
  <si>
    <t>Н3.Декоративный элемент
фасада - металлический
нащельник.1300х600.RAL 8017</t>
  </si>
  <si>
    <t>1.5.16</t>
  </si>
  <si>
    <t>Н3.Декоративный элемент
фасада - металлический
нащельник.680х550.RAL 8017</t>
  </si>
  <si>
    <t>1.5.17</t>
  </si>
  <si>
    <t>1.5.18</t>
  </si>
  <si>
    <t>Н4.Декоративный элемент
фасада - металлический
нащельник.2300х570.RAL 8017</t>
  </si>
  <si>
    <t>1.5.19</t>
  </si>
  <si>
    <t>Н4.Декоративный элемент
фасада - металлический
нащельник.2430х570.RAL 8017</t>
  </si>
  <si>
    <t>1.5.20</t>
  </si>
  <si>
    <t>Н4.Декоративный элемент
фасада - металлический
нащельник.1340х400.Рама-RAL 8017.Панель- RAL 7044</t>
  </si>
  <si>
    <t>1.5.21</t>
  </si>
  <si>
    <t>Н4.Декоративный элемент
фасада - металлический
нащельник.680х400.RAL 8017.</t>
  </si>
  <si>
    <t>1.5.22</t>
  </si>
  <si>
    <t>1.5.23</t>
  </si>
  <si>
    <t>Н5.Декоративный элемент
фасада - металлический
нащельник.2300х420.RAL 8017.</t>
  </si>
  <si>
    <t>1.5.24</t>
  </si>
  <si>
    <t>Н5.Декоративный элемент
фасада - металлический
нащельник.1340х550.Рама-RAL 8017.Панель- RAL 7044</t>
  </si>
  <si>
    <t>1.5.25</t>
  </si>
  <si>
    <t>1.5.26</t>
  </si>
  <si>
    <t>Н6.Декоративный элемент
фасада - металлический
нащельник.4610х420RAL 8017.</t>
  </si>
  <si>
    <t>1.5.27</t>
  </si>
  <si>
    <t>Н6.Декоративный элемент
фасада - металлический
нащельник.RAL 8017.680х400.Рама-RAL 8017.Панель- RAL 7044</t>
  </si>
  <si>
    <t>1.5.28</t>
  </si>
  <si>
    <t>1.5.29</t>
  </si>
  <si>
    <t>Н7.Декоративный элемент
фасада - металлический
нащельник.4610х480.RAL 8017.</t>
  </si>
  <si>
    <t>1.5.30</t>
  </si>
  <si>
    <t>Н7.Декоративный элемент
фасада - металлический
нащельник.RAL 8017.680х550.Рама-RAL 8017.Панель- RAL 7044</t>
  </si>
  <si>
    <t>1.5.31</t>
  </si>
  <si>
    <t>Н8.Декоративный элемент
фасада - металлический
нащельник.840х420.RAL 8017.</t>
  </si>
  <si>
    <t>1.6</t>
  </si>
  <si>
    <t>Устройство ставней металлических</t>
  </si>
  <si>
    <t>1.6.1</t>
  </si>
  <si>
    <t>СТ1 ставни металлические 700х1750мм с жалюзи. Рама RAL 8017, ставни RAL 750-3</t>
  </si>
  <si>
    <t>1.6.2</t>
  </si>
  <si>
    <t>СТ2 ставни металлические 620х1730мм с жалюзи. Рама RAL 8017, ставни RAL 750-3</t>
  </si>
  <si>
    <t>1.6.3</t>
  </si>
  <si>
    <t>СТ3 ставни металлические 700х2125мм с жалюзи. Рама RAL 8017</t>
  </si>
  <si>
    <t>1.7</t>
  </si>
  <si>
    <t>Устройство кронштейнов для крепления ставней металлических, в том числе:  КРп3</t>
  </si>
  <si>
    <t>1.7.1</t>
  </si>
  <si>
    <t>Металлический лист 250х180х6</t>
  </si>
  <si>
    <t>тн</t>
  </si>
  <si>
    <t>1.7.2</t>
  </si>
  <si>
    <t>Металлический лист 150х150х4</t>
  </si>
  <si>
    <t>1.7.3</t>
  </si>
  <si>
    <t>Уголок 50х4 L=50мм</t>
  </si>
  <si>
    <t>1.7.4</t>
  </si>
  <si>
    <t>Труба 50х4 L=150мм</t>
  </si>
  <si>
    <t>1.7.5</t>
  </si>
  <si>
    <t>Анкер-болт HILTI HPD M10x110</t>
  </si>
  <si>
    <t>1.7.6</t>
  </si>
  <si>
    <t>Мет. полоса 50х610х4мм</t>
  </si>
  <si>
    <t>1.8</t>
  </si>
  <si>
    <t>Устройство металлических фасонных элементов фасада</t>
  </si>
  <si>
    <t>1.8.1</t>
  </si>
  <si>
    <t>Ф-1 ОК 3МЛ-1202/МЛ-1203 ГОСТ 30246-94 / ОЦ Н-МТ-1-0,7х830 по ГОСТ 14918-80</t>
  </si>
  <si>
    <t>1.8.2</t>
  </si>
  <si>
    <t>Ф-2 ОК 3МЛ-1202/МЛ-1203 ГОСТ 30246-94 / ОЦ Н-МТ-1-0,7х395 по ГОСТ 14918-80</t>
  </si>
  <si>
    <t>1.8.3</t>
  </si>
  <si>
    <t>Ф-8 ОК 3МЛ-1202/МЛ-1203 ГОСТ 30246-94 / ОЦ Н-МТ-1-0,7х385 по ГОСТ 14918-80</t>
  </si>
  <si>
    <t>1.8.4</t>
  </si>
  <si>
    <t>Ф-12 ОК 3МЛ-1202/МЛ-1203 ГОСТ 30246-94 / ОЦ Н-МТ-1-0,7х475 по ГОСТ 14918-80</t>
  </si>
  <si>
    <t>1.8.5</t>
  </si>
  <si>
    <t>Ф-14 ОК 3МЛ-1202/МЛ-1203 ГОСТ 30246-94 / ОЦ Н-МТ-1-0,7х627 по ГОСТ 14918-80</t>
  </si>
  <si>
    <t>1.8.6</t>
  </si>
  <si>
    <t>Ф-16 ОК 3МЛ-1202/МЛ-1203 ГОСТ 30246-94 / ОЦ Н-МТ-1-0,7х680 по ГОСТ 14918-80</t>
  </si>
  <si>
    <t>1.8.7</t>
  </si>
  <si>
    <t>Ф-17 ОК 3МЛ-1202/МЛ-1203 ГОСТ 30246-94 / ОЦ Н-МТ-1-0,7х970 по ГОСТ 14918-80</t>
  </si>
  <si>
    <t>1.8.8</t>
  </si>
  <si>
    <t>Ф-20 ОК 3МЛ-1202/МЛ-1203 ГОСТ 30246-94 / ОЦ Н-МТ-1-0,7х275 по ГОСТ 14918-80</t>
  </si>
  <si>
    <t>1.8.9</t>
  </si>
  <si>
    <t>Ф-21 ОК 3МЛ-1202/МЛ-1203 ГОСТ 30246-94 / ОЦ Н-МТ-1-0,7х1090 по ГОСТ 14918-80</t>
  </si>
  <si>
    <t>1.8.10</t>
  </si>
  <si>
    <t>Сл-1ОК 3МЛ-1202/МЛ-1203 ГОСТ 30246-94 / ОЦ Н-МТ-1-0,7х 255 по ГОСТ 14918-80</t>
  </si>
  <si>
    <t>1.8.11</t>
  </si>
  <si>
    <t xml:space="preserve">Сл-2 ОК 3МЛ-1202/МЛ-1203 ГОСТ 30246-94 / ОЦ Н-МТ-1-0,7х 365 по ГОСТ 14918-80 </t>
  </si>
  <si>
    <t>1.8.12</t>
  </si>
  <si>
    <t>Сл-3 ОК 3МЛ-1202/МЛ-1203 ГОСТ 30246-94 / ОЦ Н-МТ-1-0,7х 215 по ГОСТ 14918-80</t>
  </si>
  <si>
    <t>1.8.13</t>
  </si>
  <si>
    <t xml:space="preserve">Сл-4 ОК 3МЛ-1202/МЛ-1203 ГОСТ 30246-94  / ОЦ Н-МТ-1-0,7х 375 по ГОСТ 14918-80  </t>
  </si>
  <si>
    <t>1.8.14</t>
  </si>
  <si>
    <t>К-1 4х40 ГОСТ 103-2006 Стпс5-1ГОСТ 535-2005</t>
  </si>
  <si>
    <t>1.8.15</t>
  </si>
  <si>
    <t>К-2 4х40 ГОСТ 103-2006 Стпс5-1ГОСТ 535-2005</t>
  </si>
  <si>
    <t>1.8.16</t>
  </si>
  <si>
    <t>К-3 4х40 ГОСТ 103-2006 Стпс5-1ГОСТ 535-2005</t>
  </si>
  <si>
    <t>1.8.17</t>
  </si>
  <si>
    <t>К-5 4х40 ГОСТ 103-2006 Стпс5-1ГОСТ 535-2005</t>
  </si>
  <si>
    <t>1.8.19</t>
  </si>
  <si>
    <t>К-6 4х40 ГОСТ 103-2006 Стпс5-1ГОСТ 535-2005</t>
  </si>
  <si>
    <t>1.8.20</t>
  </si>
  <si>
    <t>К-7 4х40 ГОСТ 103-2006 Стпс5-1ГОСТ 535-2005</t>
  </si>
  <si>
    <t>1.8.21</t>
  </si>
  <si>
    <t>К-8 4х40 ГОСТ 103-2006 Стпс5-1ГОСТ 535-2005</t>
  </si>
  <si>
    <t>1.9</t>
  </si>
  <si>
    <t>Устройство корзин для установки наружных блоков кондиционирования</t>
  </si>
  <si>
    <t>1.9.1</t>
  </si>
  <si>
    <t>К1 корзина для кондиционера RAL 7043 (1700х900h)</t>
  </si>
  <si>
    <t>1.9.2</t>
  </si>
  <si>
    <t>К2 корзина для кондиционера RAL 7043 (1700х750h)</t>
  </si>
  <si>
    <t>1.9.3</t>
  </si>
  <si>
    <t>1.9.4</t>
  </si>
  <si>
    <t>К2 корзина для кондиционера RAL 7043 (1700х900h)</t>
  </si>
  <si>
    <t>1.9.5</t>
  </si>
  <si>
    <t>1.9.6</t>
  </si>
  <si>
    <t>1.9.7</t>
  </si>
  <si>
    <t>К3 корзина для кондиционера RAL 7043 (1700х900h)</t>
  </si>
  <si>
    <t>1.9.8</t>
  </si>
  <si>
    <t>1.9.9</t>
  </si>
  <si>
    <t>К3 корзина для кондиционера RAL 7043 (2800х900h)</t>
  </si>
  <si>
    <t>1.9.10</t>
  </si>
  <si>
    <t>К3 корзина для кондиционера RAL 7043 (1700х750h)</t>
  </si>
  <si>
    <t>1.9.11</t>
  </si>
  <si>
    <t>К3 корзина для кондиционера RAL 7043 (1300х900h)</t>
  </si>
  <si>
    <t>1.9.12</t>
  </si>
  <si>
    <t>1.9.13</t>
  </si>
  <si>
    <t>К4 корзина для кондиционера RAL 7043 (1700х900h)</t>
  </si>
  <si>
    <t>1.9.14</t>
  </si>
  <si>
    <t>К4 корзина для кондиционера RAL 7043 (1300х900h)</t>
  </si>
  <si>
    <t>1.9.15</t>
  </si>
  <si>
    <t>К4 корзина для кондиционера RAL 7043 (1700х750h)</t>
  </si>
  <si>
    <t>1.9.16</t>
  </si>
  <si>
    <t>К5 корзина для кондиционера RAL 7043 (1300х900h)</t>
  </si>
  <si>
    <t>1.9.17</t>
  </si>
  <si>
    <t>К5 корзина для кондиционера RAL 7043 (1300х750h)</t>
  </si>
  <si>
    <t>1.9.18</t>
  </si>
  <si>
    <t>К5 корзина для кондиционера RAL 7043 (2400х900h)</t>
  </si>
  <si>
    <t>1.9.19</t>
  </si>
  <si>
    <t>1.9.20</t>
  </si>
  <si>
    <t>1.9.21</t>
  </si>
  <si>
    <t>К5 корзина для кондиционера RAL 7043 (2800х750h)</t>
  </si>
  <si>
    <t>1.9.22</t>
  </si>
  <si>
    <t>К5 корзина для кондиционера RAL 7043 (1700х900h)</t>
  </si>
  <si>
    <t>1.9.23</t>
  </si>
  <si>
    <t>К6 корзина для кондиционера RAL 7043 (2800х900h)</t>
  </si>
  <si>
    <t>1.9.24</t>
  </si>
  <si>
    <t>1.9.25</t>
  </si>
  <si>
    <t>1.9.26</t>
  </si>
  <si>
    <t>К6 корзина для кондиционера RAL 7043 (1300х750h)</t>
  </si>
  <si>
    <t>1.9.27</t>
  </si>
  <si>
    <t>К6 корзина для кондиционера RAL 7043 (1300х900h)</t>
  </si>
  <si>
    <t>1.9.28</t>
  </si>
  <si>
    <t>К7 корзина для кондиционера RAL 7043 (1300х900h)</t>
  </si>
  <si>
    <t>1.9.29</t>
  </si>
  <si>
    <t>1.9.30</t>
  </si>
  <si>
    <t>1.9.31</t>
  </si>
  <si>
    <t>К7 корзина для кондиционера RAL 7043 (1700х750h)</t>
  </si>
  <si>
    <t>1.9.32</t>
  </si>
  <si>
    <t>К8 корзина для кондиционера RAL 7043 (1300х900h)</t>
  </si>
  <si>
    <t>1.9.33</t>
  </si>
  <si>
    <t>К8 корзина для кондиционера RAL 7043 (1300х750h)</t>
  </si>
  <si>
    <t>1.9.34</t>
  </si>
  <si>
    <t>1.9.35</t>
  </si>
  <si>
    <t>К8 корзина для кондиционера RAL 7043 (2400х900h)</t>
  </si>
  <si>
    <t>1.9.36</t>
  </si>
  <si>
    <t>К9 корзина для кондиционера RAL 7043 (2400х750h)</t>
  </si>
  <si>
    <t>К11 корзина для кондиционера RAL 7043 (1700х900h)</t>
  </si>
  <si>
    <t>2.0</t>
  </si>
  <si>
    <t>Устройство кронштейнов для крепления корзин:</t>
  </si>
  <si>
    <t>2.0.1</t>
  </si>
  <si>
    <t>Кронштейн Кр1</t>
  </si>
  <si>
    <t>2.0.2</t>
  </si>
  <si>
    <t>Кронштейн Кр2</t>
  </si>
  <si>
    <t>2.0.3</t>
  </si>
  <si>
    <t>Кронштейн Крn2</t>
  </si>
  <si>
    <t>2.0.4</t>
  </si>
  <si>
    <t>Кронштейн Кр3</t>
  </si>
  <si>
    <t>2.0.6</t>
  </si>
  <si>
    <t>Кронштейн Кр5</t>
  </si>
  <si>
    <t>2.0.11</t>
  </si>
  <si>
    <t>Кронштейн Кр8</t>
  </si>
  <si>
    <t>2.0.12</t>
  </si>
  <si>
    <t>Кронштейн Кр9</t>
  </si>
  <si>
    <t>2.0.15</t>
  </si>
  <si>
    <t>Кронштейн Кр12</t>
  </si>
  <si>
    <t>2.0.16</t>
  </si>
  <si>
    <t>Кронштейн Кр14</t>
  </si>
  <si>
    <t>2.0.17</t>
  </si>
  <si>
    <t>Кронштейн Кр18</t>
  </si>
  <si>
    <t>Кронштейн Кр19</t>
  </si>
  <si>
    <t>Кронштейн Кр24</t>
  </si>
  <si>
    <t xml:space="preserve">Устройство закладных деталей для последующей прокладки фрионопровода к наружным блокам кондиционирования
(в соответствии с прилагаемым узлом) </t>
  </si>
  <si>
    <t>2.0.1.</t>
  </si>
  <si>
    <t>Устройство декоративных стеклянных козырьков на вантах и профильном каркасе и кронштейнов в том числе:</t>
  </si>
  <si>
    <t>2.0.1.1</t>
  </si>
  <si>
    <t>Устройство декоративных стеклянных козырьков на вантах и профильном каркасе RAL 8017 (RAL K7 CLASSIC):</t>
  </si>
  <si>
    <t>2.0.2.1</t>
  </si>
  <si>
    <t>Устройство кронштейнов для крепления  стеклянного козырька на вантах и профильном каркасе:</t>
  </si>
  <si>
    <t>2.0.2.2</t>
  </si>
  <si>
    <t>Кронштейн Крn4</t>
  </si>
  <si>
    <t>2.0.2.3</t>
  </si>
  <si>
    <t>Кронштейн Крn5</t>
  </si>
  <si>
    <t>2.0.2.4</t>
  </si>
  <si>
    <t xml:space="preserve">Кронштейн Крn6 </t>
  </si>
  <si>
    <t>2.0.2.5</t>
  </si>
  <si>
    <t>Кронштейн Крn7</t>
  </si>
  <si>
    <t>2.0.2.6</t>
  </si>
  <si>
    <t xml:space="preserve">Кронштейн Крn8 </t>
  </si>
  <si>
    <t>2.0.2.7</t>
  </si>
  <si>
    <t>Кронштейн Крn9</t>
  </si>
  <si>
    <t>2.0.2.8</t>
  </si>
  <si>
    <t>Кронштейн Крn10</t>
  </si>
  <si>
    <t>2.1</t>
  </si>
  <si>
    <t>Устройство оконных и дверных откосов</t>
  </si>
  <si>
    <t>2.1.1</t>
  </si>
  <si>
    <t xml:space="preserve">Устройство наружных дверных и оконных откосов из армирующего слоя по стеклотканевой сетке толщиной до 0,16 м. </t>
  </si>
  <si>
    <t>2.1.2</t>
  </si>
  <si>
    <t>2.1.3</t>
  </si>
  <si>
    <t>Устройство навесной вентилируемой фасадной системы Ронсон-500 (или
аналог) с воздушным зазором, утеплителем из
минераловатных плит и облицовкой плиткой, имитирующей
кирпичную кладку, "White hills" Йоркшир 405-40, размер
300х600мм.RAL 3012.</t>
  </si>
  <si>
    <t>2.1.4</t>
  </si>
  <si>
    <t>Устройство навесной вентилируемой фасадной системы Ронсон-500 (или
аналог) с воздушным зазором, утеплителем из
минераловатных плит и облицовкой плиткой, имитирующей
кирпичную кладку "White hills" Йоркшир 405-10</t>
  </si>
  <si>
    <t>2.1.5</t>
  </si>
  <si>
    <t>Устройство Керамогранитной плитки на цементно-песчаном растворе по
сетке (цокольная часть) Моноколор 300х600мм производство
компании Estima или аналог.RAL 8028</t>
  </si>
  <si>
    <t>2.1.6</t>
  </si>
  <si>
    <t>Устройство кассет из композитного материала, оцинкованной стали
или алюминия.RAL 9016</t>
  </si>
  <si>
    <t>2.1.7</t>
  </si>
  <si>
    <t>Устройство наружных металлических оконных откосов без обрамляющего борта</t>
  </si>
  <si>
    <t>2.1.8</t>
  </si>
  <si>
    <t xml:space="preserve">Устройство внутренних дверных и оконных откосов на балконах и лоджиях из армирующего слоя по стеклотканевой сетке толщиной до 0,16 м. </t>
  </si>
  <si>
    <t>2.2</t>
  </si>
  <si>
    <t>Устройство отливов</t>
  </si>
  <si>
    <t>2.2.1</t>
  </si>
  <si>
    <t xml:space="preserve">Устройство оконных отливов из оцинкованной стали, включая фасадный герметик, уплотнительную ленту и прочие сопутствующие элементы крепления </t>
  </si>
  <si>
    <t>2.2.2</t>
  </si>
  <si>
    <t xml:space="preserve">Устройство отливов из оцинкованной стали по декоративным элементам, включая фасадный герметик, уплотнительную ленту и прочие сопутствующие элементы крепления </t>
  </si>
  <si>
    <t>2.3</t>
  </si>
  <si>
    <t xml:space="preserve">Утепление стен балконов и лоджий </t>
  </si>
  <si>
    <t>2.3.1</t>
  </si>
  <si>
    <t>Утепление минераловатными плитами Rockwool Фасад Баттс или Фасад Оптима Д плотностью 130 кг/м3 на тарельчатые дюбели толщиной 100мм</t>
  </si>
  <si>
    <t>2.3.2</t>
  </si>
  <si>
    <t>Утепление минераловатными плитами Rockwool Фасад Баттс или Фасад Оптима Д плотностью 130 кг/м3 на тарельчатые дюбели толщиной 150мм</t>
  </si>
  <si>
    <t>2.4</t>
  </si>
  <si>
    <t>Устройство порогов балконов и лоджий</t>
  </si>
  <si>
    <t>2.4.1</t>
  </si>
  <si>
    <t>Доска из хв. пород дерева 150х50 L=1300мм</t>
  </si>
  <si>
    <t>2.4.2</t>
  </si>
  <si>
    <t>Брусок из хв. пород дерева 50х150 L=85мм</t>
  </si>
  <si>
    <t xml:space="preserve">Устройство тонкослойной фасадной штукатурки 6-8 мм Caparol Capatect или аналог (RAL в цвет фасада в соответствии с рабочей документацией) </t>
  </si>
  <si>
    <t xml:space="preserve">Окраска оштукатуренной поверхности фасадными красками  (RAL в цвет фасада в соответствии с рабочей документацией) </t>
  </si>
  <si>
    <t>2.5</t>
  </si>
  <si>
    <t>Устройство лючков и решеток</t>
  </si>
  <si>
    <t>2.5.1</t>
  </si>
  <si>
    <t>Р1 Стальная вентиляционная решетка 540х340(h) RAL 8017</t>
  </si>
  <si>
    <t>2.5.2</t>
  </si>
  <si>
    <t>Р1 Стальные вентиляционные решетки, окрашенные порошковой краской в заводских условиях. Производство компании "Сервис Индастри" или аналог. 440х440(h) RAL 8017</t>
  </si>
  <si>
    <t>2.5.3</t>
  </si>
  <si>
    <t>Р2.Стальные вентиляционные решетки, окрашенные порошковой краской в заводских условиях. Производство компании "Сервис Индастри" или аналог. 1150х600. RAL 8017</t>
  </si>
  <si>
    <t>2.5.4</t>
  </si>
  <si>
    <t>Р3.Стальные вентиляционные решетки, окрашенные порошковой краской в заводских условиях. Производство компании "Сервис Индастри" или аналог.300х200.RAL 8017</t>
  </si>
  <si>
    <t>2.5.5</t>
  </si>
  <si>
    <t>Р4. Стальные вентиляционные решетки, окрашенные порошковой краской в заводских условиях. Производство компании "Сервис Индастри" или аналог.400х250.RAL 8017.</t>
  </si>
  <si>
    <t>2.6</t>
  </si>
  <si>
    <t>Подъездные знаки</t>
  </si>
  <si>
    <t>2.6.1</t>
  </si>
  <si>
    <t xml:space="preserve">Указатель номера подъезда с нумерацией квартир:
Металлический знак, окрашенный в заводских условиях.RAL 7043 </t>
  </si>
  <si>
    <t>2.7</t>
  </si>
  <si>
    <t>Адресный знак</t>
  </si>
  <si>
    <t>2.7.1</t>
  </si>
  <si>
    <t>3</t>
  </si>
  <si>
    <t>ЗИП- запасные части части, изделия и принадлежности</t>
  </si>
  <si>
    <t>3.1</t>
  </si>
  <si>
    <t>Фасадная плитка, имитирующая кирпичную кладку "White Hills" Лондон брик II, арт. F340-90, спец.цвет 7416/2906/21.</t>
  </si>
  <si>
    <t>3.2</t>
  </si>
  <si>
    <t>3.2.1</t>
  </si>
  <si>
    <t>3.3</t>
  </si>
  <si>
    <t>3.3.1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</si>
  <si>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</si>
  <si>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</si>
  <si>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</si>
  <si>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</si>
  <si>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</si>
  <si>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</si>
  <si>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</si>
  <si>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</si>
  <si>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</si>
  <si>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</si>
  <si>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Устройсто навесного вентилируемого фасада системы Ронсон-500 (или аналог) (с учетом разработки раздела КМД и ППР с последующим согласованием с Заказчиком и Генпроектировщиком)</t>
  </si>
  <si>
    <t>Организация __________________ ИНН _________________</t>
  </si>
  <si>
    <t>Цена работ на ед. измерения в руб. с НДС</t>
  </si>
  <si>
    <t>Твердая договорная стоимость на полный объем в руб. с НДС</t>
  </si>
  <si>
    <t>Примечания</t>
  </si>
  <si>
    <t>Материал</t>
  </si>
  <si>
    <t>Работа</t>
  </si>
  <si>
    <t>Всего</t>
  </si>
  <si>
    <t>ИТОГО</t>
  </si>
  <si>
    <t>Банковская гарантия на авансовый платеж (при наличии аванса более 10 000 000 руб. с НДС) указать банк-гарант- при условии суммы договора менее 10 000 000, 00 рублей с НДС -БГ не требуется</t>
  </si>
  <si>
    <t>Зачет аванса (100 % размер при оплате выполненных работ/услуг в отчетном периоде - "отчетный период" - 1 календарный месяц))(да/нет) / или по графику зачета авансов)/  график зачета аванса</t>
  </si>
  <si>
    <t xml:space="preserve">Личное поручительство собственника компании- подрядчика при условии аванса не более 10 000 000 руб. с НДС. </t>
  </si>
  <si>
    <t>Готовность приступить к работе по гарантийному письму Заказчика о намерениях заключить договор, да/нет</t>
  </si>
  <si>
    <t>Готовность подписать договор в редакции ГК ФСК  (да/нет)</t>
  </si>
  <si>
    <t>В стоимости учтено гарантийное удержание  2,5% на 5 лет с момента сдачи Объекта в эксплуатацию</t>
  </si>
  <si>
    <t>В стоимости учтены расходы на услуги по уборке, охране, разгрузки и подъему материалов и т.д.(да/нет)</t>
  </si>
  <si>
    <t>В стоимости учтен размер вознаграждения за услуги генерального подряда определен в Приложении №23 к  Договору:  1%</t>
  </si>
  <si>
    <t>Отсрочка платежа (срок выплаты не ранее чем 15 р.д. с даты подписания акта) (да/нет)</t>
  </si>
  <si>
    <t>Виды работ, планируемые к выполнению субподрядными организациями</t>
  </si>
  <si>
    <t>Наличие СРО (для тендеров, когда СРО необходимо)</t>
  </si>
  <si>
    <t>Опыт работы с ГК ФСК (АО МСУ-1, ДСК-1) (при наличии текущих проектов- указать % реализации)</t>
  </si>
  <si>
    <t>Опыт реализации аналогичных видов работ за последние 2-3 года (указать не более 5 ключевых объектов, видов работ и их заказчиков )</t>
  </si>
  <si>
    <t>Численность работающих всего / численность, планируемая для выполнения предмета тендера</t>
  </si>
  <si>
    <t>Дата регистрации компании</t>
  </si>
  <si>
    <t>Оборот за последние 3 года (указать оборот за 2019/2020/2021 год)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</si>
  <si>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</si>
  <si>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</si>
  <si>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Примечание к ТКП претендента</t>
  </si>
  <si>
    <t>Примечания:</t>
  </si>
  <si>
    <t>Стоимость КП расчитана на основании приложенной технической документацией</t>
  </si>
  <si>
    <t>Генеральный директор</t>
  </si>
  <si>
    <t>в т.ч. НДС 20%</t>
  </si>
  <si>
    <t>Гарантийный срок 5 лет с момента сдачи Объекта в эксплуатацию (да/нет)</t>
  </si>
  <si>
    <t>__________________________________   __________________________________</t>
  </si>
  <si>
    <t>Гарантия на материалы и оборудование 5 лет с момента сдачи Объекта в эксплуатацию (да/нет)</t>
  </si>
  <si>
    <t>Тендерные условия</t>
  </si>
  <si>
    <t>КОММЕРЧЕСКОЕ ПРЕДЛОЖЕНИЕ</t>
  </si>
  <si>
    <t>на полный комплекс работ по выполнению фасадов объекта:  "Третья очередь строительства, Жилой дом №7 с встроенной автостоянкой по адресу: 
Московская область, Ленинский муниципальный район, сельское поселение Развилковское, поселок Развилка"
секции 14, 15, 16, 17, 18, 19, 20, 21, 22, 23, 24, 25.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</si>
  <si>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</si>
  <si>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ФИО ________________
моб.тел. _______________
e-mail _________________</t>
  </si>
  <si>
    <t>Аванс не более 30% от суммы планируемого выполнения работ/услуг в  отчетном периоде (отчетный период 1 календарный месяц) / без аванса</t>
  </si>
  <si>
    <r>
      <t xml:space="preserve">Срок выполнения работ </t>
    </r>
    <r>
      <rPr>
        <b/>
        <i/>
        <u/>
        <sz val="10"/>
        <rFont val="Times New Roman"/>
        <family val="1"/>
        <charset val="204"/>
      </rPr>
      <t>по ТЗ</t>
    </r>
    <r>
      <rPr>
        <b/>
        <i/>
        <sz val="10"/>
        <rFont val="Times New Roman"/>
        <family val="1"/>
        <charset val="204"/>
      </rPr>
      <t xml:space="preserve">: начало работ 15.04.2022;
окончание работ 10.06.2023      14 месяцев
(подробная расшифровка по секциям в ТЗ)
</t>
    </r>
    <r>
      <rPr>
        <b/>
        <i/>
        <sz val="10"/>
        <color rgb="FFFF0000"/>
        <rFont val="Times New Roman"/>
        <family val="1"/>
        <charset val="204"/>
      </rPr>
      <t xml:space="preserve">
</t>
    </r>
  </si>
  <si>
    <t>Кронштейн Кр7</t>
  </si>
  <si>
    <t>2.0.7</t>
  </si>
  <si>
    <t>Устройство лесов</t>
  </si>
  <si>
    <t>Монтаж лесов (указана площадь поверхности фасада, фактическая площадь уточняется в рамках разработки ППР)</t>
  </si>
  <si>
    <t>Демонтаж лесов (указана площадь поверхности фасада, фактическая площадь уточняется в рамках разработки ППР)</t>
  </si>
  <si>
    <t>Заделка отверстий после монтажа консолей и лесов с учетом восстановления финишной отделки фасада</t>
  </si>
  <si>
    <t>2.8</t>
  </si>
  <si>
    <t>2.8.1</t>
  </si>
  <si>
    <t>1.2.16</t>
  </si>
  <si>
    <t>Окраска оштукатуренной поверхности фасадными красками  (RAL в соответствии с рабочей документацией)</t>
  </si>
  <si>
    <t>Защитная сетка</t>
  </si>
  <si>
    <t>Устройство противопожарных отсечек по периметру сопряжения навесного вентилируемого фасада с фасадом с тонким штукатурным слоем, с цоколем</t>
  </si>
  <si>
    <t>Негорючая монтажная пена</t>
  </si>
  <si>
    <t>Герметизирующая мастика</t>
  </si>
  <si>
    <r>
      <t xml:space="preserve">Теплоизоляционный жгут Вилатерм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20-30мм, полнотелый, плотность 25-50 кг/м3, теплопроводность 0,035Вт/мК</t>
    </r>
  </si>
  <si>
    <t>2.2.3</t>
  </si>
  <si>
    <t>2.2.4</t>
  </si>
  <si>
    <t>2.5.6</t>
  </si>
  <si>
    <t>2.6.2</t>
  </si>
  <si>
    <t>2.6.3</t>
  </si>
  <si>
    <t>2.6.4</t>
  </si>
  <si>
    <t>2.6.5</t>
  </si>
  <si>
    <t>2.9</t>
  </si>
  <si>
    <t>2.9.1</t>
  </si>
  <si>
    <t>2.9.2</t>
  </si>
  <si>
    <t>2.9.3</t>
  </si>
  <si>
    <t>2.9.4</t>
  </si>
  <si>
    <t>2.9.5</t>
  </si>
  <si>
    <t>2.9.6</t>
  </si>
  <si>
    <t>ПД1."Декоративные
элементы фасада из
ПСБ-С-25Ф
оштукатуренные по
системе "мокрый
фасад" с последующим
окрашиванием".RAL 160-3.Сандрик - 1590(L)350(h)180(w)</t>
  </si>
  <si>
    <t>ДЭ-1. Декоративный элемент фасада (орнамент)
из ПСБ с последующим
окрашиванием.RAL 9016</t>
  </si>
  <si>
    <t>ДЭ1. Декоративный элемент фасада
из ПСБ с последующим
окрашиванием RAL 140-6.Пилястра - 12030(h)</t>
  </si>
  <si>
    <t>ДЭ2. Декоративный элемент фасада
из ПСБ с последующим
окрашиванием.RAL 140-6.Пилястра - 12030(h)</t>
  </si>
  <si>
    <t>Ф1. Декоративный элемент фасада
из ПСБ с последующим
окрашиванием.RAL 140-6.</t>
  </si>
  <si>
    <t>ДЭ1.Декоративный элемент фасада
из ПСБ с последующим
окрашиванием.RAL 160-3.</t>
  </si>
  <si>
    <t>ДЭ1.Декоративный элемент фасада
из ПСБ с последующим
окрашиванием.RAL 160-3.Пилястра 10515 (h)</t>
  </si>
  <si>
    <t>ДЭ2. Декоративный элемент фасада
из ПСБ с последующим
окрашиванием.RAL 160-3.Пилястра 10515 (h)</t>
  </si>
  <si>
    <t>ДЭ3. Декоративный элемент фасада
из ПСБ с последующим
окрашиванием.RAL 160-3.Пилястра 10515 (h)</t>
  </si>
  <si>
    <t>ПД1.Декоративные
элементы фасада из
ПСБ с последующим
окрашиванием RAL 160-3.Сандрик - 2190(L)350(h)180(w)</t>
  </si>
  <si>
    <t>ПД2.Декоративные
элементы фасада из
ПСБ с последующим
окрашиванием RAL 160-3.Подоконник - 1940(L)150(h)120(w) + Сандрик 2190(L)350(h)180(w)</t>
  </si>
  <si>
    <t>ПД2.Декоративные
элементы фасада из
ПСБ с последующим
окрашиванием RAL 160-3.Подоконник - 1540(L)150(h)120(w) + сандрик 1790(L)350(h)180(w)</t>
  </si>
  <si>
    <t>ПД3.Декоративные
элементы фасада из
ПСБ с последующим
окрашиванием RAL 160-3.Сандрик - 1590(L)350(h)180(w)</t>
  </si>
  <si>
    <t>ПД3.Декоративные
элементы фасада из
ПСБ с последующим
окрашиванием RAL 160-3.Сандрик - 4140(L)350(h)180(w)</t>
  </si>
  <si>
    <t>ПД3.Декоративные
элементы фасада из
ПСБ с последующим
окрашиванием RAL 160-3.Подоконник - 1940(L)150(h)120(w) + сандрик 2190(L)350(h)180(w)</t>
  </si>
  <si>
    <t>ПД3.Декоративные
элементы фасада из
ПСБ с последующим
окрашиванием RAL 160-3.Сандрик - 1790(L)350(h)180(w)</t>
  </si>
  <si>
    <t>ПД4.Декоративные
элементы фасада из
ПСБ с последующим
окрашиванием RAL 160-3.Сандрик - 4140(L)210(h)180(w)</t>
  </si>
  <si>
    <t>ПД4.Декоративные
элементы фасада из
ПСБ с последующим
окрашиванием RAL 160-3.Подоконник 1340(L)150(h)120(w) + сандрик 1590(L)350(h)180(w)</t>
  </si>
  <si>
    <t>ПД4.Декоративные
элементы фасада из
ПСБ с последующим
окрашиванием.RAL 160-3.Сандрик - 4410(L)350(h)180(w)</t>
  </si>
  <si>
    <t>ПД4.Декоративные
элементы фасада из
ПСБ с последующим
окрашиванием.RAL 160-3.Сандрик - 1790(L)350(h)180(w)</t>
  </si>
  <si>
    <t>ПД4.Декоративные
элементы фасада из
ПСБ с последующим
окрашиванием RAL 160-3.Сандрик - 2190 (L)350(h)180(w)</t>
  </si>
  <si>
    <t>ПД6.Декоративные
элементы фасада из
ПСБ с последующим
окрашиванием RAL 160-3.Подоконник - 1090(L)150(h)120(w) + сандрик 1340(L)350(h)180(w)</t>
  </si>
  <si>
    <t>ПД6.Декоративные
элементы фасада из
ПСБ с последующим
окрашиванием RAL 160-3.Подоконник - 1940(L)150(h)120(w) + сандрик 2190(L)350(h)180(w)</t>
  </si>
  <si>
    <t>ПД7.Декоративные
элементы фасада из
ПСБ с последующим
окрашиванием RAL 160-3.Сандрик - 2190(L)350(h)180(w)</t>
  </si>
  <si>
    <t>ПД8.Декоративные
элементы фасада из
ПСБ с последующим
окрашиванием RAL 160-3.Сандрик - 2190(L)350(h)180(w)</t>
  </si>
  <si>
    <t>ПД8.Декоративные
элементы фасада из
ПСБ с последующим
окрашиванием RAL 160-3.Сандрик - 1790 (L)350(h)180(w)</t>
  </si>
  <si>
    <t>ПД9.Декоративные
элементы фасада из
ПСБ с последующим
окрашиванием RAL 160-3.Сандрик - 3890(L)350(h)180(w)</t>
  </si>
  <si>
    <t>ПД9.Декоративные
элементы фасада из
ПСБ с последующим
окрашиванием RAL 160-3.Сандрик - 1590(L)350(h)180(w)</t>
  </si>
  <si>
    <t>ПД11.Декоративные
элементы фасада из
ПСБ с последующим
окрашиванием RAL 160-3.Подоконник - 1540(L)150(h)120(w) + сандрик 1790(L)350(h)180(w)</t>
  </si>
  <si>
    <t>ПД12.Декоративные
элементы фасада из
ПСБ с последующим
окрашиванием RAL 160-3.Сандрик - 2920(L)350(h)180(w)</t>
  </si>
  <si>
    <t>ДК2.Декоративный карниз из ПСБ с
последующим окрашиванием.RAL 160-3.1000x400</t>
  </si>
  <si>
    <t>ДК2.Декоративный карниз из ПСБ с
последующим окрашиванием.RAL 7044.75х50</t>
  </si>
  <si>
    <t>ДК3.Декоративный карниз из ПСБ с
последующим окрашиванием.RAL 160-3.1600x400</t>
  </si>
  <si>
    <t>ДК3.Декоративный карниз из ПСБ с
последующим окрашиванием.RAL 7044.300х130</t>
  </si>
  <si>
    <t>ДК4.Декоративный карниз из ПСБ с
последующим окрашиванием.RAL 7044.200х200</t>
  </si>
  <si>
    <t>ДК5.Декоративный карниз из ПСБ с
последующим окрашиванием.RAL 7005.150х110</t>
  </si>
  <si>
    <t>ДФ-1.Декоративный фартук из
ПСБ.RAL 140-4</t>
  </si>
  <si>
    <t>Н2.Декоративный элемент
фасада - металлический
нащельник.2430х570.RAL 8017</t>
  </si>
  <si>
    <t>Н3.Декоративный элемент
фасада - металлический
нащельник.2830х570.RAL 8017</t>
  </si>
  <si>
    <t>Н4.Декоративный элемент
фасада - металлический
нащельник.2830х420.RAL 8017.</t>
  </si>
  <si>
    <t>Н5.Декоративный элемент
фасада - металлический
нащельник.830х570.RAL 8017.</t>
  </si>
  <si>
    <t>Н6.Декоративный элемент
фасада - металлический
нащельник.830х420.RAL 8017.</t>
  </si>
  <si>
    <t>Н7.Декоративный элемент
фасада - металлический
нащельник.RAL 8017</t>
  </si>
  <si>
    <t>H8.Декоративный элемент
фасада - металлический
нащельник.RAL 8017</t>
  </si>
  <si>
    <t>К2 корзина для кондиционера RAL 7043 (2500х900h)</t>
  </si>
  <si>
    <t>К3 корзина для кондиционера RAL 7043 (2500х750h)</t>
  </si>
  <si>
    <t>К4 корзина для кондиционера RAL 7043 (2500х900h)</t>
  </si>
  <si>
    <t>К5 корзина для кондиционера RAL 7043 (2500х750h)</t>
  </si>
  <si>
    <t>К5 корзина для кондиционера RAL 7043 (2500х900h)</t>
  </si>
  <si>
    <t>К6 корзина для кондиционера RAL 7043 (2500х900h)</t>
  </si>
  <si>
    <t>К6 корзина для кондиционера RAL 7043 (2500х750h)</t>
  </si>
  <si>
    <t>К9 корзина для кондиционера RAL 7043 (2500х750h)</t>
  </si>
  <si>
    <t>Кронштейн Кр28</t>
  </si>
  <si>
    <t>Кронштейн Кр29</t>
  </si>
  <si>
    <t>Кронштейн Кр31</t>
  </si>
  <si>
    <t>2.0.5</t>
  </si>
  <si>
    <t>2.0.8</t>
  </si>
  <si>
    <t>2.0.9</t>
  </si>
  <si>
    <t>2.0.10</t>
  </si>
  <si>
    <t>2.0.13</t>
  </si>
  <si>
    <t>2.0.14</t>
  </si>
  <si>
    <t>ПД5.Декоративные
элементы фасада из
ПСБ с последующим
окрашиванием.RAL 160-3.Сандрик.1340(L)350(h)180(w)</t>
  </si>
  <si>
    <t>Декоративный элемент - подоконник.</t>
  </si>
  <si>
    <t>Декоративный элемент - сандрик.</t>
  </si>
  <si>
    <t>Декоративный элемент - подоконник + сандрик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</si>
  <si>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</si>
  <si>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</si>
  <si>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</si>
  <si>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</si>
  <si>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</si>
  <si>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</si>
  <si>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</si>
  <si>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</si>
  <si>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</si>
  <si>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</si>
  <si>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</si>
  <si>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</si>
  <si>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</si>
  <si>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</si>
  <si>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1.4.1.15</t>
  </si>
  <si>
    <t>1.4.1.16</t>
  </si>
  <si>
    <t>1.4.1.17</t>
  </si>
  <si>
    <t>1.4.1.18</t>
  </si>
  <si>
    <t>1.4.1.19</t>
  </si>
  <si>
    <t>1.4.1.20</t>
  </si>
  <si>
    <t>1.4.1.21</t>
  </si>
  <si>
    <t>1.4.1.22</t>
  </si>
  <si>
    <t>1.4.1.23</t>
  </si>
  <si>
    <t>1.4.1.24</t>
  </si>
  <si>
    <t>1.4.1.25</t>
  </si>
  <si>
    <t>1.4.1.26</t>
  </si>
  <si>
    <t>1.4.1.27</t>
  </si>
  <si>
    <t>1.4.1.28</t>
  </si>
  <si>
    <t>1.4.1.29</t>
  </si>
  <si>
    <t>1.4.1.30</t>
  </si>
  <si>
    <t>1.4.1.31</t>
  </si>
  <si>
    <t>1.4.1.32</t>
  </si>
  <si>
    <t>1.4.1.33</t>
  </si>
  <si>
    <t>1.4.1.34</t>
  </si>
  <si>
    <t>1.4.1.35</t>
  </si>
  <si>
    <t>1.4.1.36</t>
  </si>
  <si>
    <t>1.4.1.37</t>
  </si>
  <si>
    <t>1.4.2.1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</si>
  <si>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</si>
  <si>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</si>
  <si>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</si>
  <si>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</si>
  <si>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</si>
  <si>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</si>
  <si>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</si>
  <si>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</si>
  <si>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1.4.2.10</t>
  </si>
  <si>
    <t>1.4.2.11</t>
  </si>
  <si>
    <t>1.4.3.1</t>
  </si>
  <si>
    <t>1.4.3.2</t>
  </si>
  <si>
    <t>1.4.3.4</t>
  </si>
  <si>
    <t>1.4.3.3</t>
  </si>
  <si>
    <t>1.4.3.5</t>
  </si>
  <si>
    <t>1.4.3.6</t>
  </si>
  <si>
    <t>1.4.3.7</t>
  </si>
  <si>
    <t>1.4.3.8</t>
  </si>
  <si>
    <t>1.4.3.9</t>
  </si>
  <si>
    <t>1.4.3.10</t>
  </si>
  <si>
    <t>1.4.3.11</t>
  </si>
  <si>
    <t>1.4.3.12</t>
  </si>
  <si>
    <t>1.4.3.13</t>
  </si>
  <si>
    <t>1.4.3.14</t>
  </si>
  <si>
    <t>1.4.3.15</t>
  </si>
  <si>
    <t>1.4.3.16</t>
  </si>
  <si>
    <t>1.4.4.1</t>
  </si>
  <si>
    <t>1.4.4.2</t>
  </si>
  <si>
    <t>1.4.4.3</t>
  </si>
  <si>
    <t>1.4.4.6</t>
  </si>
  <si>
    <t>1.4.4.4</t>
  </si>
  <si>
    <t>1.4.4.5</t>
  </si>
  <si>
    <t>1.4.4.7</t>
  </si>
  <si>
    <t>К10 корзина для кондиционера RAL 7043 (1300х900h)</t>
  </si>
  <si>
    <t>К9 корзина для кондиционера RAL 7043 (2500х900h)</t>
  </si>
  <si>
    <t>К7 корзина для кондиционера RAL 7043 (2500х750h)</t>
  </si>
  <si>
    <t>ЛОТ1</t>
  </si>
  <si>
    <t>Секции 
14-19</t>
  </si>
  <si>
    <t>ЛОТ2</t>
  </si>
  <si>
    <t>Секции 
20-25</t>
  </si>
  <si>
    <t>Устройство основного цоколя</t>
  </si>
  <si>
    <t>ПД8.Декоративные элементы фасада из
ПСБ с последующим окрашиванием.2800х591(h).RAL 7005.</t>
  </si>
  <si>
    <t>ДК1.Декоративный карниз выполнен из ПСБ с
последующим окрашиванием.RAL 160-3.1320x700</t>
  </si>
  <si>
    <t>ДК1.Декоративный карниз выполнен из ПСБ с
последующим окрашиванием.RAL 7044.200х100</t>
  </si>
  <si>
    <t>ПД7.Декоративные элементы фасада из ПСБ с последующим окрашиванием.1130х565
(h).RAL 7044.</t>
  </si>
  <si>
    <t>ПД7.Декоративные элементы фасада из ПСБ с последующим окрашиванием RAL 160-3.</t>
  </si>
  <si>
    <t>Фасадная плитка, имитирующая кирпичную
кладку, ''White hills'' Йоркшир, размер
300х120х20 мм. Производство АО
''Монолитстрой'' или аналог.RAL 160-3</t>
  </si>
  <si>
    <t>ПД6.Декоративные элементы фасада из
ПСБ с последующим окрашиванием.1680х1680(h).RAL 160-3</t>
  </si>
  <si>
    <t>ПД5.Декоративные элементы фасада из ПСБ с последующим
окрашиванием.2000х2000(h).RAL 160-3.</t>
  </si>
  <si>
    <t>ПД5.Декоративные элементы фасада из ПСБ с последующим
окрашиванием.RAL 160-3.</t>
  </si>
  <si>
    <t>ПД4.Декоративные элементы фасада из
ПСБ с последующим
окрашиванием.2000(h).RAL 160-3.</t>
  </si>
  <si>
    <t>ПД2.Декоративные элементы фасада из
ПСБ с последующим
окрашиванием.RAL 160-3.</t>
  </si>
  <si>
    <t>ПД1.Декоративные элементы фасада из
ПСБ с последующим
окрашиванием.RAL 405-40.</t>
  </si>
  <si>
    <t>ПД1.Декоративные элементы фасада из
ПСБ с последующим
окрашиванием.RAL 160-3.</t>
  </si>
  <si>
    <t>ДЭ7. ДДекоративные элементы фасада из ПСБ-С-25Ф оштукатуренные по системе
"мокрый фасад" с последующим окрашиванием.RAL 140-6. 1100х800х300</t>
  </si>
  <si>
    <t>ДЭ6. Декоративные элементы фасада из ПСБ-С-25Ф
оштукатуренные по системе "мокрый фасад" с
последующим окрашиванием.RAL 420-3</t>
  </si>
  <si>
    <t>ДЭ5. Декоративные элементы фасада из ПСБ-С-25Ф
оштукатуренные по системе "мокрый фасад" с
последующим окрашиванием.RAL 420-3</t>
  </si>
  <si>
    <t>ДЭ4."Декоративные элементы фасада из ПСБ-С-25Ф оштукатуренные по системе "мокрый фасад" с
последующим окрашиванием".RAL 160-3.Пилястра 2300(h)</t>
  </si>
  <si>
    <t>ДЭ4. Декоративный элемент фасада из ПСБ с последующим
окрашиванием.RAL 160-3.Пилястра 10515(h)</t>
  </si>
  <si>
    <t>ДЭ3."Декоративные элементы фасада из ПСБ-С-25Ф оштукатуренные по системе "мокрый фасад" с
последующим окрашиванием".RAL 160-3.Пилястра 2300(h)</t>
  </si>
  <si>
    <t>ДЭ2."Декоративные элементы фасада из ПСБ-С-25Ф оштукатуренные по системе "мокрый фасад" с
последующим окрашиванием".RAL 160-3.Пилястра 2300(h)</t>
  </si>
  <si>
    <t>ДЭ1."Декоративные элементы фасада из ПСБ-С-25Ф оштукатуренные по системе "мокрый фасад" с
последующим окрашиванием".RAL 160-3.Пилястра 2300(h)</t>
  </si>
  <si>
    <t>ПД1.Декоративные элементы фасада из
ПСБ с последующим окрашиванием RAL 160-3.Подоконник - 1540(L)150(h)120(w)</t>
  </si>
  <si>
    <t>ПД1.Декоративные элементы фасада из
ПСБ с последующим окрашиванием RAL 160-3.Подоконник - 1940(L)150(h)120(w).</t>
  </si>
  <si>
    <t>ПД2.Декоративные элементы фасада из
ПСБ с последующим окрашиванием RAL 160-3. Подоконник - 1940(L)150(h)120(w)</t>
  </si>
  <si>
    <t>ПД3.Декоративные элементы фасада из
ПСБ с последующим окрашиванием RAL 160-3.Подоконник - 1940(L)150(h)120(w)</t>
  </si>
  <si>
    <t>ПД3.Декоративные элементы фасада из
ПСБ с последующим окрашиванием RAL 160-3.Подоконник - 1340(L)150(h)120(w)</t>
  </si>
  <si>
    <t>ПД3.Декоративные элементы фасада из
ПСБ с последующим окрашиванием RAL 160-3.Подоконник - 1090(L)150(h)120(w)</t>
  </si>
  <si>
    <t>ПД4.Декоративные элементы фасада из
ПСБ с последующим окрашиванием RAL 160-3.Подоконник 1090(L)150(h)120(w)</t>
  </si>
  <si>
    <t>ПД5.Декоративные элементы фасада из
ПСБ с последующим окрашиванием RAL 160-3.Подоконник - 1940(L)150(h)120(w)</t>
  </si>
  <si>
    <t>ПД7.Декоративные элементы фасада из
ПСБ с последующим окрашиванием RAL 160-3.Подоконник - 1940(L)150(h)120(w)</t>
  </si>
  <si>
    <t>ПД8.Декоративные элементы фасада из
ПСБ с последующим окрашиванием RAL 160-3.Подоконник - 1940(L)150(h)120(w)</t>
  </si>
  <si>
    <t>ПД10.Декоративные элементы фасада из
ПСБ с последующим окрашиванием.RAL 160-3.Подоконник - 1540(L)150(h)120(w)</t>
  </si>
  <si>
    <t>Аренда лесов (указана площадь поверхности фасада, фактическая площадь уточняется в рамках разработки ППР).</t>
  </si>
  <si>
    <t>2.2.5</t>
  </si>
  <si>
    <t>Лист стальной оцинкованный толщиной 0,7мм. Окр в цвет RAL 8019</t>
  </si>
  <si>
    <t>т</t>
  </si>
  <si>
    <t>Монтаж металлических консолей с учетом выполнения технологических отверстий (выполняется с уровня 2 этажа, количество уточняется в рамках разработки ППР)</t>
  </si>
  <si>
    <t xml:space="preserve">Устройство тонкослойной фасадной штукатурки 6-8 мм BERGAUF (RAL в цвет фасада в соответствии с рабочей документацией) </t>
  </si>
  <si>
    <t>Итого</t>
  </si>
  <si>
    <t>К1 корзина для кондиционера RAL 7043 (1300х900h)</t>
  </si>
  <si>
    <t>К8 корзина для кондиционера RAL 7043 (1700х750h)</t>
  </si>
  <si>
    <t>К9 корзина для кондиционера RAL 7043 (1700х750h)</t>
  </si>
  <si>
    <t>К10 корзина для кондиционера RAL 7043 (1300х750h)</t>
  </si>
  <si>
    <t>К11 корзина для кондиционера RAL 7043 (2500х750h)</t>
  </si>
  <si>
    <t>К7 корзина для кондиционера RAL 7043 (1300х750h)</t>
  </si>
  <si>
    <t>ПД4."Декоративный элемент фасада ПСБ-С-25Ф оштукатуренные по системе "мокрый фасад" с последующим окрашиванием" RAL 160-3. Сандрик - 2190(L)210(h)180(w)</t>
  </si>
  <si>
    <t>Л-1. Ревизионный металлический люк, окрашенный эмалью в заводских условиях. Производство компании "Revizor" или аналог.RAL 8028. 360х460(h)</t>
  </si>
  <si>
    <t>Р2.Стальные вентиляционные решетки, окрашенные порошковой краской в заводских условиях. Производство компании "Сервис Индастри" или аналог. 700х900(h). RAL 8019</t>
  </si>
  <si>
    <t>Р3.Стальные вентиляционные решетки, окрашенные порошковой краской в заводских условиях. Производство компании "Сервис Индастри" или аналог.200х200.RAL 8019</t>
  </si>
  <si>
    <t>Кронштейн Кр20</t>
  </si>
  <si>
    <t>Кронштейн Кр32</t>
  </si>
  <si>
    <t>Кронштейн Кр33</t>
  </si>
  <si>
    <t>Кронштейн Кр34</t>
  </si>
  <si>
    <t>Кронштейн Крп7</t>
  </si>
  <si>
    <t xml:space="preserve">Сл-4 ОК 3МЛ-1202/МЛ-1203 ГОСТ 30246-94  / ОЦ Н-МТ-1-0,7х 825 по ГОСТ 14918-80  </t>
  </si>
  <si>
    <t>Сл-1ОК 3МЛ-1202/МЛ-1203 ГОСТ 30246-94 / ОЦ Н-МТ-1-0,7х 385по ГОСТ 14918-80</t>
  </si>
  <si>
    <t>Сл-3 ОК 3МЛ-1202/МЛ-1203 ГОСТ 30246-94 / ОЦ Н-МТ-1-0,7х 380 по ГОСТ 14918-80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</si>
  <si>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RAL1034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</si>
  <si>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RAL290-1</t>
  </si>
  <si>
    <t>К3 корзина для кондиционера RAL 7043 (2500х900h)</t>
  </si>
  <si>
    <t>К6 корзина для кондиционера RAL 7043 (1700х750h)</t>
  </si>
  <si>
    <t>Р2.Стальные вентиляционные решетки, окрашенные порошковой краской в заводских условиях.Производство компании "Сервис Индастри" или аналог.RAL 8019</t>
  </si>
  <si>
    <t>СТ2 ставни металлические 620х1730мм с жалюзи. Рама RAL 8019, ставни RAL 750-3</t>
  </si>
  <si>
    <t>СТ1 ставни металлические 700х1750мм с жалюзи. Рама RAL 8019, ставни RAL 750-3</t>
  </si>
  <si>
    <t>Кронштейн Кр23</t>
  </si>
  <si>
    <t>Кронштейн Крn12</t>
  </si>
  <si>
    <t>Кронштейн Крn21</t>
  </si>
  <si>
    <t>ПД2. Декоративные элементы фасада из ПСБ-С-25Ф оштукатуренные по системе "Мокрый фасад" с последующим окрашиванием RAL 160-3. Подоконник 1090 (L) 150 (h) 120 (w) + сандрик 1340 (L) 350 (h) 120 (w)</t>
  </si>
  <si>
    <t>Устройство керамогранитной плитки Моноколор 300х600мм Estima на цементно-песчаном растворе по сетке  RAL 2002</t>
  </si>
  <si>
    <t>Утепление минераловатными плитами Rockwool Фасад Баттс или аналог плотностью 130 кг/м3 на клеевой состав и тарельчатые дюбели толщиной 180мм</t>
  </si>
  <si>
    <t>ПД1.Декоративные элементы фасада из
ПСБ-С-25Ф с последующим окрашиванием RAL 160-3.Подоконник - 1940(L)150(h)120(w).</t>
  </si>
  <si>
    <t>Кронштейн Крn17</t>
  </si>
  <si>
    <t>ПД 7. Декоративный элемент фасада ПСБ-С-25Ф оштукатуренный по системе "мокрый фасад" с последующим окрашиванием RAL 9016. R1=400 мм, R2=600 мм.</t>
  </si>
  <si>
    <t>К4 корзина для кондиционера RAL 7043 (2500х750h)</t>
  </si>
  <si>
    <t>Уголок 50х4 L=75мм</t>
  </si>
  <si>
    <t>1.7.7</t>
  </si>
  <si>
    <t>2.0.18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</si>
  <si>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RAL2002</t>
  </si>
  <si>
    <t>ПД1.Декоративные элементы фасада из
ПСБ-С-25Ф с последующим окрашиванием RAL 160-3.Подоконник - 1090(L)150(h)120(w).</t>
  </si>
  <si>
    <t>ПД2.Декоративные элементы фасада из
ПСБ-С-25Ф с последующим окрашиванием RAL 160-3. Подоконник - 1940(L)150(h)120(w)</t>
  </si>
  <si>
    <t>ПД5.Декоративные элементы фасада из
ПСБ-С-25Ф с последующим окрашиванием RAL 160-3.Подоконник - 3070(L)150(h)120(w)</t>
  </si>
  <si>
    <t>ПД9.Декоративные элементы фасада из
ПСБ-С-25Ф с последующим окрашиванием RAL 160-3.Подоконник - 970(L)150(h)120(w)</t>
  </si>
  <si>
    <t xml:space="preserve">Устройство модульонов </t>
  </si>
  <si>
    <t>Модульон ДМ-11 (Труба 40х40х4 96,9 п.м. вес 407,1 кг, Анкер Hilti HRD-H 10x100 30 шт.)</t>
  </si>
  <si>
    <t>Модульон ДМ-12 (Труба 40х40х4 46,8 п.м. вес 196,6 кг, Анкер Hilti HRD-H 10x100 20 шт.)</t>
  </si>
  <si>
    <t>1.2.17</t>
  </si>
  <si>
    <t>Окраска металлического листа оцинкованного фасадными красками RAL 8028</t>
  </si>
  <si>
    <t>Утепление экструзионным пенополистиролом толщиной 250мм</t>
  </si>
  <si>
    <t>Утепление экструзионным пенополистиролом толщиной 200мм</t>
  </si>
  <si>
    <t>Утепление экструзионным пенополистиролом толщиной 75мм</t>
  </si>
  <si>
    <t>Утепление экструзионным пенополистиролом толщиной  150мм</t>
  </si>
  <si>
    <t>Утепление экструзионным пенополистиролом толщиной 100мм</t>
  </si>
  <si>
    <t>Утепление экструзионным пенополистиролом толщиной 50мм</t>
  </si>
  <si>
    <t>Анкер-болт Koelner SA M10x130 для яч. бетона
или аналог</t>
  </si>
  <si>
    <t>ПД2."Декоративный элемент фасада ПСБ-С-25Ф оштукатуренные по системе "мокрый фасад" с последующим окрашиванием" RAL 160-3. Сандрик - 1700(L)350(h)180(w)</t>
  </si>
  <si>
    <t>1.7.12</t>
  </si>
  <si>
    <t>1.7.13</t>
  </si>
  <si>
    <t>1.7.14</t>
  </si>
  <si>
    <t>Секция 9</t>
  </si>
  <si>
    <t>Секция 8</t>
  </si>
  <si>
    <t>Утепление минераловатными плитами Rockwool Фасад Баттс или аналог плотностью 130 кг/м3 на клеевой состав и тарельчатые дюбели толщиной 60мм</t>
  </si>
  <si>
    <t>Устройство фасадной плитки, имитрующей кирпичную кладку, "White Hills" Йоркшир 405-40, размер 300х600мм. Производство АО "Монолитстрой" или аналог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</si>
  <si>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RAL310-1</t>
  </si>
  <si>
    <t>Кронштейн Кр30</t>
  </si>
  <si>
    <t>Труба 50х4 L=144мм</t>
  </si>
  <si>
    <t>Труба 50х4 L=228мм</t>
  </si>
  <si>
    <t>Труба 50х4 L=278мм</t>
  </si>
  <si>
    <t>Труба 50х4 L=298мм</t>
  </si>
  <si>
    <t>Труба 50х4 L=330мм</t>
  </si>
  <si>
    <t>Труба 50х4 L=338мм</t>
  </si>
  <si>
    <t>Труба 50х4 L=438мм</t>
  </si>
  <si>
    <t>Труба 50х4 L=480мм</t>
  </si>
  <si>
    <t>Металлический лист 250х180х6мм</t>
  </si>
  <si>
    <t>Металлический лист 150х150х4мм</t>
  </si>
  <si>
    <t>Металлический лист 35х100х6мм</t>
  </si>
  <si>
    <t>Металлический лист 170х200х6мм</t>
  </si>
  <si>
    <t>Металлический лист 100х100х6мм/2</t>
  </si>
  <si>
    <t>Кронштейн Крn3.1</t>
  </si>
  <si>
    <t>Устройство кронштейнов для крепления  стеклянного козырька и металлических ставней на вантах и профильном каркасе:</t>
  </si>
  <si>
    <t>Уголок 50х50х4 L=75мм</t>
  </si>
  <si>
    <t>Труба 50х4 L=78мм</t>
  </si>
  <si>
    <t>Устройство кронштейнов для крепления декоративных корзин, стеклянных козырьков, металлических ставней, в том числе:  КРn3.1</t>
  </si>
  <si>
    <t>Устройство декоративных стеклянных козырьков на вантах и профильном каркасе. Бесцветное стекло толщиной 10мм. Вид стекла - закаленный триплекс. Производство компания "Эверест" или аналог RAL 8019 (RAL K7 CLASSIC):</t>
  </si>
  <si>
    <t>Р1.Стальные вентиляционные решетки, окрашенные порошковой краской в заводских условиях. Производство компании "Сервис Индастри" или аналог.RAL 8028. 800x500(h)</t>
  </si>
  <si>
    <t>К7 корзина для кондиционера RAL 7043 (900х850h)</t>
  </si>
  <si>
    <t>К8 корзина для кондиционера RAL 7043 (900х850h)</t>
  </si>
  <si>
    <t>ДФ-1.Декоративный элемент фасада ПСБ-С-25Ф оштукатуренные по системе "мокрый
фасад" с последующим окрашиванием RAL 140-4. 660х185(h)</t>
  </si>
  <si>
    <t>ПД3.Декоративные элементы фасада из
ПСБ-С-25Ф с последующим окрашиванием RAL 160-3.Подоконник - 1190(L)150(h)120(w)</t>
  </si>
  <si>
    <t>ДЭ-1. Декоративный элемент фасада
из ПСБ-С-25Ф оштукатуренные по системе "мокрый фасад" с последующим окрашиванием.RAL 8025. (RAL R7 CLASSIC) RAL 140-6 (RAL E3 EFFECT) 800x800(h)</t>
  </si>
  <si>
    <t>ДЭ-2.Декоративный элемент фасада
из ПСБ-С-25Ф оштукатуренные по системе "мокрый фасад" с последующим окрашиванием.RAL 9016 (RAL K7 CLASSIC) 1500x1500(h)</t>
  </si>
  <si>
    <t>ПД2."Декоративный элемент фасада ПСБ-С-25Ф оштукатуренные по системе "мокрый фасад" с последующим окрашиванием" RAL 160-3. Сандрик - 2290(L)350(h)180(w)</t>
  </si>
  <si>
    <t>ПД1.Декоративный элемент фасада ПСБ-С-25Ф штукатуренные по системе "мокрый фасад" с последующим окрашиванием RAL 160-3.Сандрик - 5890(L)350(h)180(w)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</si>
  <si>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RAL8025</t>
  </si>
  <si>
    <t>ДК2.Декоративный элемент фасада -фронтон из ПСБ-С-25Ф оштукатуренные по системе "мокрый фасад" с последующим окрашиванием.RAL 160-3 50х300мм</t>
  </si>
  <si>
    <t>ПД9.Декоративный элемент фасада ПСБ-С-25Ф оштукатуренные по системе "мокрый
фасад" с последующим окрашиванием RAL 9016. 210х250</t>
  </si>
  <si>
    <t>ПД8.Декоративный элемент фасада ПСБ-С-25Ф оштукатуренные по системе "мокрый фасад" с последующим окрашиванием RAL 9016.1050х4450</t>
  </si>
  <si>
    <t>ПД8.Декоративный элемент фасада ПСБ-С-25Ф
оштукатуренные по системе "мокрый фасад" с последующим окрашиванием.1400х2050(h).RAL 160-3.</t>
  </si>
  <si>
    <t>ПД7.Декоративный элемент фасада ПСБ-С-25Ф
оштукатуренные по системе "мокрый фасад" с последующим окрашиванием.1700х1700(h) (h).RAL 160-3</t>
  </si>
  <si>
    <t xml:space="preserve">Устройство металлического откоса без обрамляющего борта (RAL в соответствии с рабочей документацией) </t>
  </si>
  <si>
    <t>Кронштейн Кр4</t>
  </si>
  <si>
    <t>Кронштейн Кр15</t>
  </si>
  <si>
    <t>Кронштейн Крп6</t>
  </si>
  <si>
    <t>Кронштейн Крп15</t>
  </si>
  <si>
    <t>Кронштейн Крп16</t>
  </si>
  <si>
    <t>К4 корзина для кондиционера RAL 7043 (1300х750h)</t>
  </si>
  <si>
    <t>К7 корзина для кондиционера RAL 7043 (2500х900h)</t>
  </si>
  <si>
    <t>К8 корзина для кондиционера RAL 7043 (1700х900h)</t>
  </si>
  <si>
    <t>Труба 50х4 L=203мм</t>
  </si>
  <si>
    <t>Труба 50х4 L=328мм</t>
  </si>
  <si>
    <t>Труба 50х4 L=388мм</t>
  </si>
  <si>
    <t>Труба 50х4 L=148мм</t>
  </si>
  <si>
    <t>Труба 50х4 L=238мм</t>
  </si>
  <si>
    <t>Труба 50х4 L=340мм</t>
  </si>
  <si>
    <t>Труба 60х4 L=74мм</t>
  </si>
  <si>
    <t>Труба 60х4 L=144мм</t>
  </si>
  <si>
    <t>Труба 60х4 L=224мм</t>
  </si>
  <si>
    <t>Труба 60х4 L=364мм</t>
  </si>
  <si>
    <t xml:space="preserve">Устройство металлического листа оцинкованного окрашенного 7мм (RAL в соответствии с рабочей документацией) </t>
  </si>
  <si>
    <t>Мет. полоса 50х460х4мм</t>
  </si>
  <si>
    <t>Кронштейн Крп3</t>
  </si>
  <si>
    <t>Устройство Гидро-ветрозащитной мембраны ЭКОНОМ НГ или аналог</t>
  </si>
  <si>
    <t>ПД1.Декоративный элемент фасада ПСБ-С-25Ф штукатуренные по системе "мокрый фасад" с последующим окрашиванием RAL 160-3.Сандрик - 1340(L)350(h)180(w)</t>
  </si>
  <si>
    <t>ПД4.Декоративные элементы фасада из
ПСБ-С-25Ф с последующим окрашиванием RAL 160-3.Подоконник - 1340(L)150(h)120(w)</t>
  </si>
  <si>
    <t>ПД4.Декоративные элементы фасада из
ПСБ-С-25Ф с последующим окрашиванием RAL 160-3.Подоконник 1190(L)150(h)120(w) + сандрик 1440(L)350(h)180(w)</t>
  </si>
  <si>
    <t>ПД3.Декоративные элементы фасада из
ПСБ-С-25Ф с последующим окрашиванием RAL 160-3.Подоконник - 1940(L)150(h)120(w) + сандрик 2190(L)350(h)180(w)</t>
  </si>
  <si>
    <t xml:space="preserve">ПД4. Декоративные элементы фасада из ПСБ-С-25Ф оштукатуренные по системе мокрый фасад с последующим окрашиванием. RAL 160-3 Подоконник 
1940 (L) 150(h) 120 (w) + сандрик 2190 (L) 350 (h) 180 (w) </t>
  </si>
  <si>
    <t xml:space="preserve">ПД5. Декоративные элементы фасада из ПСБ-С-25Ф оштукатуренные по системе мокрый фасад с последующим окрашиванием. RAL 160-3 Подоконник 
1340 (L) 150(h) 120 (w) + сандрик 1590 (L) 350 (h) 180 (w) </t>
  </si>
  <si>
    <t>ПД6.Декоративныеэлементы фасада из
ПСБ-С-25Ф с последующим окрашиванием RAL 160-3.Подоконник - 3070(L)150(h)120(w) + сандрик 3320(L)350(h)180(w)</t>
  </si>
  <si>
    <t>ПД6.Декоративныеэлементы фасада из
ПСБ-С-25Ф с последующим окрашиванием RAL 160-3.Подоконник - 2170(L)150(h)120(w) + сандрик 2420(L)350(h)180(w)</t>
  </si>
  <si>
    <t>ПД8.Декоративные элементы фасада из
ПСБ-С-25Ф с последующим окрашиванием RAL 160-3.Подоконник - 2570(L)150(h)120(w)</t>
  </si>
  <si>
    <t>ПД8.Декоративные элементы фасада из
ПСБ-С-25Ф с последующим окрашиванием RAL 160-3.Подоконник - 2670(L)150(h)120(w)</t>
  </si>
  <si>
    <t>ПД6.Декоративныеэлементы фасада из
ПСБ-С-25Ф с последующим окрашиванием RAL 160-3.Подоконник - 2570(L)150(h)120(w) + сандрик 2820(L)350(h)180(w)</t>
  </si>
  <si>
    <t>ПД4.Декоративные элементы фасада из
ПСБ-С-25Ф с последующим окрашиванием RAL 160-3.Сандрик - 2050(L)350(h)180(w)</t>
  </si>
  <si>
    <t>ПД5.Декоративные элементы фасада из
ПСБ-С-25Ф с последующим окрашиванием.RAL 160-3.Сандрик.1890(L)350(h)180(w)</t>
  </si>
  <si>
    <t>ПД6.Декоративные элементы фасада из
ПСБ-С-25Ф с последующим окрашиванием.RAL 160-3.Сандрик.1590(L)350(h)180(w)</t>
  </si>
  <si>
    <t>ПД10.Декоративные элементы фасада из
ПСБ-С-25Ф с последующим окрашиванием RAL 160-3.Сандрик - 1220(L)350(h)180(w)</t>
  </si>
  <si>
    <t>ПД10.Декоративные элементы фасада из
ПСБ-С-25Ф с последующим окрашиванием RAL 160-3.Сандрик - 1700(L)350(h)180(w)</t>
  </si>
  <si>
    <t>ДЭ-1. Декоративный элемент фасада
из ПСБ-С-25Ф оштукатуренные по системе "мокрый фасад" с последующим окрашиванием.RAL 320-5. 100x1000(h)</t>
  </si>
  <si>
    <t>ДЭ-3. Декоративный элемент фасада
из ПСБ-С-25Ф оштукатуренные по системе "мокрый фасад" с последующим окрашиванием.RAL 320-5. 100x1400(h)</t>
  </si>
  <si>
    <t>ДЭ-2. Декоративный элемент фасада
из ПСБ-С-25Ф оштукатуренные по системе "мокрый фасад" с последующим окрашиванием.RAL 320-5. 100x1000(h)</t>
  </si>
  <si>
    <t>ПД1.Декоративный элемент фасада ПСБ-С-25Ф штукатуренные по системе "мокрый фасад" с последующим окрашиванием RAL 160-3.Сандрик - 2190(L)350(h)180(w)</t>
  </si>
  <si>
    <t>Утепление экструзионным пенополистиролом толщиной 300мм</t>
  </si>
  <si>
    <t>Утепление экструзионным пенополистиролом толщиной 350мм</t>
  </si>
  <si>
    <t>Утепление минераловатными плитами Rockwool Фасад Баттс или аналог плотностью 90 кг/м3 на клеевой состав и тарельчатые дюбели толщиной 150мм</t>
  </si>
  <si>
    <t>Утепление минераловатными плитами Rockwool Фасад Баттс или Фасад Оптима Д плотностью 130 кг/м3 на тарельчатые дюбели толщиной 180мм</t>
  </si>
  <si>
    <t>ПД1.Декоративные элементы фасада из
ПСБ-С-25Ф с последующим окрашиванием RAL 160-3.Подоконник - 2670L)150(h)120(w).</t>
  </si>
  <si>
    <t>ПД6.Декоративные элементы фасада из
ПСБ-С-25Ф с последующим окрашиванием RAL 160-3.Подоконник - 2570(L)150(h)120(w)</t>
  </si>
  <si>
    <t>ПД3."Декоративный элемент фасада ПСБ-С-25Ф оштукатуренные по системе "мокрый фасад" с последующим окрашиванием" RAL 160-3. Сандрик - 2920(L)350(h)180(w)</t>
  </si>
  <si>
    <t>ПД7.Декоративные элементы фасада из
ПСБ-С-25Ф с последующим окрашиванием.RAL 160-3.Сандрик.2190(L)350(h)180(w)</t>
  </si>
  <si>
    <t>ПД2. Декоративные элементы фасада из ПСБ-С-25Ф оштукатуренные по системе "Мокрый фасад" с последующим окрашиванием RAL 160-3. Подоконник 2670 (L) 150 (h) 120 (w) + сандрик 2920 (L) 350 (h) 120 (w)</t>
  </si>
  <si>
    <t>ПД8.Декоративныеэлементы фасада из
ПСБ-С-25Ф с последующим окрашиванием RAL 160-3.Подоконник - 1940(L)150(h)120(w) + сандрик 2190(L)350(h)180(w)</t>
  </si>
  <si>
    <t>Устройство керамогранитной плитки Моноколор 300х600мм Estima на цементно-песчаном растворе по сетке армировочной по ГОСТ 2715-75 с анкеровкой шагом не более 450мм с капельником из оцинкованного уголка 25 с учетом последующей затирки швов. RAL7008</t>
  </si>
  <si>
    <t>Кронштейн Крп5</t>
  </si>
  <si>
    <t>ДЭ-1. Декоративный элемент фасада
из ПСБ-С-25Ф оштукатуренные по системе "мокрый фасад" с последующим окрашиванием.RAL 320-5. 650x1750(h)</t>
  </si>
  <si>
    <t>ДК1.Декоративный элемент фасада выполнен из ПСБ-С-25Ф оштукатуренные по системе "мокрый фасад" с
последующим окрашиванием.RAL 160-3.1320x700(h)</t>
  </si>
  <si>
    <t>ДК1.Декоративный элемент фасада выполнен из ПСБ-С-25Ф оштукатуренные по системе "мокрый фасад" с
последующим окрашиванием.RAL 160-3.400x800(h)</t>
  </si>
  <si>
    <t>ДК3.Декоративный элемент фасада ПСБ-С-25Ф оштукатуренные по системе "мокрый фасад" с
последующим окрашиванием.RAL 160-3.400x800(h)</t>
  </si>
  <si>
    <t>ДК3.Декоративный элемент фасада ПСБ-С-25Ф оштукатуренные по системе "мокрый фасад" с
последующим окрашиванием.RAL 160-3.700x1320(h)</t>
  </si>
  <si>
    <t>ДК4.Декоративный элемент фасада ПСБ-С-25Ф оштукатуренные по системе "мокрый фасад" с
последующим окрашиванием.RAL 160-3.400x800(h)</t>
  </si>
  <si>
    <t>Труба 50х4 L=264мм</t>
  </si>
  <si>
    <t>Кронштейн Крп20</t>
  </si>
  <si>
    <t>Труба 50х4 L=178мм</t>
  </si>
  <si>
    <t>Кронштейн Крn3</t>
  </si>
  <si>
    <t>Труба 50х4 L=200мм</t>
  </si>
  <si>
    <t>К5 корзина для кондиционера RAL 7043 (1700х750h)</t>
  </si>
  <si>
    <t>P1.Стальные вентиляционные решетки, окрашенные порошковой краской в заводских условиях.Производство компании "Сервис Индастри" или аналог.RAL 8019. 900x500(h)</t>
  </si>
  <si>
    <t>ДК2.Декоративный элемент фасада выполнен из ПСБ-С-25Ф оштукатуренные по системе "мокрый фасад" с
последующим окрашиванием.RAL 160-3.400x800(h)</t>
  </si>
  <si>
    <t>ДЭ-1. Декоративный элемент фасада
из ПСБ-С-25Ф оштукатуренные по системе "мокрый фасад" с последующим окрашиванием.RAL 7044. 2000x1000(h)</t>
  </si>
  <si>
    <t>ДЭ-2. Декоративный элемент фасада
из ПСБ-С-25Ф оштукатуренные по системе "мокрый фасад" с последующим окрашиванием.RAL 320-5. 1200x1750(h)</t>
  </si>
  <si>
    <t>ПД4.Декоративные элементы фасада из ПСБ-С-25Ф оштукатуренные по системе "мокрый фасад" с
последующим окрашиванием. 1700х1700(h). RAL 160-3.</t>
  </si>
  <si>
    <t>Ф-7 ОК 3МЛ-1202/МЛ-1203 ГОСТ 30246-94 / ОЦ Н-МТ-1-0,7х395 по ГОСТ 14918-80</t>
  </si>
  <si>
    <t>1.1.19</t>
  </si>
  <si>
    <t>1.1.20</t>
  </si>
  <si>
    <t>1.1.21</t>
  </si>
  <si>
    <t>1.2.18</t>
  </si>
  <si>
    <t>1.2.19</t>
  </si>
  <si>
    <t>1.4.1</t>
  </si>
  <si>
    <t>1.4.2.12</t>
  </si>
  <si>
    <t>1.4.4.8</t>
  </si>
  <si>
    <t>1.4.4.9</t>
  </si>
  <si>
    <t>1.4.4.10</t>
  </si>
  <si>
    <t>1.5.5</t>
  </si>
  <si>
    <t>1.7.8</t>
  </si>
  <si>
    <t>1.7.9</t>
  </si>
  <si>
    <t>1.7.10</t>
  </si>
  <si>
    <t>1.7.11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</si>
  <si>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</si>
  <si>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</si>
  <si>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</si>
  <si>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</si>
  <si>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</si>
  <si>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</si>
  <si>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</si>
  <si>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</si>
  <si>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</si>
  <si>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</si>
  <si>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</si>
  <si>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</si>
  <si>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</si>
  <si>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</si>
  <si>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</si>
  <si>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</si>
  <si>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</si>
  <si>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</si>
  <si>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</si>
  <si>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1.8.18</t>
  </si>
  <si>
    <t>2.0.19</t>
  </si>
  <si>
    <t>2.0.20</t>
  </si>
  <si>
    <t>2.0.21</t>
  </si>
  <si>
    <t>2.0.22</t>
  </si>
  <si>
    <t>2.0.23</t>
  </si>
  <si>
    <t>2.0.24</t>
  </si>
  <si>
    <t>2.0.25</t>
  </si>
  <si>
    <t>2.0.26</t>
  </si>
  <si>
    <t>2.0.27</t>
  </si>
  <si>
    <t>2.6.6</t>
  </si>
  <si>
    <t>2.7.2</t>
  </si>
  <si>
    <t>3.0.1</t>
  </si>
  <si>
    <t>3.0.2</t>
  </si>
  <si>
    <t>3.0.3</t>
  </si>
  <si>
    <t>3.0.4</t>
  </si>
  <si>
    <t>ДК2.Декоративный элемент фасада
ПСБ-С-25Ф оштукатуренные по системе "мокрый фасад" с последующим окрашиванием.RAL 160-3.1320x700(h)</t>
  </si>
  <si>
    <t>ДК2.Декоративный элемент фасада
ПСБ-С-25Ф оштукатуренные по системе "мокрый фасад" с последующим окрашиванием.RAL 160-3.50x450(h)</t>
  </si>
  <si>
    <t>Н1.Декоративный элемент фасада - металлический
нащельник.1700х500.RAL 8019</t>
  </si>
  <si>
    <t>Н1.Декоративный элемент фасада - металлический
нащельник.2300х585(h).RAL 8019</t>
  </si>
  <si>
    <t>Н2.Декоративный элемент фасада - металлический
нащельник.2300х450.RAL 8019</t>
  </si>
  <si>
    <t>Н2.Декоративный элемент фасада - металлический
нащельник.1700х585(h).RAL 8019</t>
  </si>
  <si>
    <t>Н3.Декоративный элемент фасада - металлический
нащельник.2400х600.RAL 8019</t>
  </si>
  <si>
    <t>Н3.Декоративный элемент фасада - металлический
нащельник.2300х435(h).RAL 8019</t>
  </si>
  <si>
    <t>Н4.Декоративный элемент фасада - металлический
нащельник.2300х600.RAL 8019</t>
  </si>
  <si>
    <t>Н5.Декоративный элемент фасада - металлический
нащельник.2330х450.RAL 8019.</t>
  </si>
  <si>
    <t>Н6.Декоративный элемент фасада - металлический
нащельник.2330х600 RAL 8019.</t>
  </si>
  <si>
    <t xml:space="preserve">Устройство закладных деталей для последующей прокладки фрионопровода к наружным блокам кондиционирования (в соответствии с прилагаемым узлом) </t>
  </si>
  <si>
    <t>Секиця 10</t>
  </si>
  <si>
    <t>Секция 11</t>
  </si>
  <si>
    <t>Секция 12</t>
  </si>
  <si>
    <t>Секция 13</t>
  </si>
  <si>
    <t>ДЭ-1. Декоративный элемент фасада из ПСБ-С-25Ф оштукатуренные по системе "мокрый фасад"с последующим окрашиванием.RAL 9016. 1100x1750(h)</t>
  </si>
  <si>
    <t>ДЭ1.Декоративный элемент фасада ПСБ-С-25Ф оштукатуренные по системе мокрый фасад с последующим окрашиванием.RAL 160-3.450x12453</t>
  </si>
  <si>
    <t>ДК2.Декоративный элемент фасада -фронтон из ПСБ-С-25Ф оштукатуренные по системе "мокрый фасад" с последующим окрашиванием.RAL 160-3 5140х300мм</t>
  </si>
  <si>
    <t>ДК3.Декоративный элемент фасада
ПСБ-С-25Ф оштукатуренные по
системе "мокрый фасад" с
последующим окрашиванием.RAL 160-3.50x700</t>
  </si>
  <si>
    <t>ДК3.Декоративный элемент фасада - фронтон 
ПСБ-С-25Ф оштукатуренные по системе "мокрый фасад" с последующим окрашиванием. RAL 160-3. 17800х300мм</t>
  </si>
  <si>
    <t>ПД3.Декоративные элементы фасада из
ПСБ-С-25Ф с последующим окрашиванием RAL 160-3.Подоконник - 1940(L)150(h)120(w)</t>
  </si>
  <si>
    <t>ПД2."Декоративный элемент фасада ПСБ-С-25Ф оштукатуренные по системе "мокрый фасад" с последующим окрашиванием" RAL 160-3. Сандрик - 2190(L)350(h)180(w)</t>
  </si>
  <si>
    <t>ПД5.Декоративные элементы фасада из
ПСБ-С-25Ф с последующим окрашиванием.RAL 160-3.Сандрик.1095(L)350(h)180(w)</t>
  </si>
  <si>
    <t>ПД4.Декоративные элементы фасада из
ПСБ-С-25Ф с последующим окрашиванием RAL 160-3.Подоконник 970(L)150(h)120(w) + сандрик 1220(L)350(h)180(w)</t>
  </si>
  <si>
    <t>1.4.4.11</t>
  </si>
  <si>
    <t>Жилой дом №8 секции 8-23</t>
  </si>
  <si>
    <t>ПД1.Декоративные элементы фасада из ПСБ-С-25Ф оштукатуренные по системе "мокрый фасад" с
последующим окрашиванием. 1700х1700(h). RAL 160-3.</t>
  </si>
  <si>
    <t xml:space="preserve">Устройство наружных и дверных откосов из тонкослойной фасадной штукатурки 6-8 мм  BERGAUF (RAL в соответствии с рабочей документацией) </t>
  </si>
  <si>
    <t>Отделка стен балконов и лоджий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</si>
  <si>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</si>
  <si>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</si>
  <si>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</si>
  <si>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</si>
  <si>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</si>
  <si>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</si>
  <si>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</si>
  <si>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</si>
  <si>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</si>
  <si>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</si>
  <si>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месяц</t>
  </si>
  <si>
    <t>на полный комплекс работ по выполнению фасадов объекта:  "Третья очередь строительства, Жилой дом №8 с встроенной автостоянкой по адресу: Московская область, Ленинский муниципальный район, сельское поселение Развилковское, поселок Развилка"секции 8-23</t>
  </si>
  <si>
    <t>Примечание:  в п.п 2.4.1.9 "Окраска оштукатуренной поверхности фасадными красками  (RAL в соответствии с рабочей документацией)" указано 100% лоджий, количество покраски  уточняется с учётом проданных квартир с отделкой*</t>
  </si>
  <si>
    <t>Теплоизоляционный жгут Вилатерм Ø20-30мм, полнотелый, плотность 25-50 кг/м3, теплопроводность 0,035Вт/мК</t>
  </si>
  <si>
    <t>Ячейки для заполнения</t>
  </si>
  <si>
    <t>КОММЕРЧЕСКОЕ ПРЕДЛОЖЕНИЕ ОТ __.__.2022г.</t>
  </si>
  <si>
    <t>НАИМЕНОВАНИЕ И ИНН ОРГАНИЗАЦИИ</t>
  </si>
  <si>
    <t>1</t>
  </si>
  <si>
    <t>2</t>
  </si>
  <si>
    <t>Срок выполнения работ (кал.дн.):
Секция 10,11,12, 13,14,15,16,17 - начало 25.07.2022, окончание - 30.08.2023, 401 к.д.
Устройство фасадов. Секции 8,9,18, 19,20,21,22,23- начало 25.07.2022, окончание - 10.10.2023, 442 к.д.</t>
  </si>
  <si>
    <t>Банковская гарантия на авансовый платеж (при наличии аванса более 10 000 000 руб. с НДС) указать банк-гарант- при условии суммы аванса менее 10 000 000, 00 рублей с НДС - БГ не требуется</t>
  </si>
  <si>
    <t>4</t>
  </si>
  <si>
    <t>Зачет аванса (100 % размер при оплате выполненных работ/услуг в отчетном периоде - (отчетный период -1 календарный месяц))(да/нет)/ график зачета аванса</t>
  </si>
  <si>
    <t>5</t>
  </si>
  <si>
    <t>6</t>
  </si>
  <si>
    <t>Готовность приступить к работе по гарантийному письму Заказчика о намерениях заключить договор</t>
  </si>
  <si>
    <t>7</t>
  </si>
  <si>
    <t>Готовность подписать договор в редакции "ГК ФСК" (да/нет)</t>
  </si>
  <si>
    <t>8</t>
  </si>
  <si>
    <t>9</t>
  </si>
  <si>
    <t>10</t>
  </si>
  <si>
    <r>
      <rPr>
        <b/>
        <i/>
        <sz val="14"/>
        <color indexed="8"/>
        <rFont val="Times New Roman"/>
        <family val="1"/>
        <charset val="204"/>
      </rPr>
      <t>В стоимости учтено гарантийное удержание</t>
    </r>
    <r>
      <rPr>
        <b/>
        <i/>
        <sz val="14"/>
        <color indexed="10"/>
        <rFont val="Times New Roman"/>
        <family val="1"/>
        <charset val="204"/>
      </rPr>
      <t xml:space="preserve"> (2,5 % на 5 лет)</t>
    </r>
  </si>
  <si>
    <t>11</t>
  </si>
  <si>
    <r>
      <t xml:space="preserve">В стоимости учтены расходы </t>
    </r>
    <r>
      <rPr>
        <b/>
        <i/>
        <sz val="14"/>
        <color indexed="10"/>
        <rFont val="Times New Roman"/>
        <family val="1"/>
        <charset val="204"/>
      </rPr>
      <t>на услуги по уборке, складированию и вывозу строительных отходов (бетонные, ж/б, лом черных и цветных металлов),  стоимости талонов,  разгрузки и погрузки материалов</t>
    </r>
    <r>
      <rPr>
        <b/>
        <i/>
        <sz val="14"/>
        <rFont val="Times New Roman"/>
        <family val="1"/>
        <charset val="204"/>
      </rPr>
      <t xml:space="preserve"> (да/нет)</t>
    </r>
  </si>
  <si>
    <t>12</t>
  </si>
  <si>
    <t>13</t>
  </si>
  <si>
    <t>14</t>
  </si>
  <si>
    <r>
      <t xml:space="preserve">Наличие </t>
    </r>
    <r>
      <rPr>
        <b/>
        <i/>
        <sz val="14"/>
        <color indexed="10"/>
        <rFont val="Times New Roman"/>
        <family val="1"/>
        <charset val="204"/>
      </rPr>
      <t>СРО/ лицензии (для тендеров, когда СРО/лицензия необходима)</t>
    </r>
  </si>
  <si>
    <t>15</t>
  </si>
  <si>
    <t>16</t>
  </si>
  <si>
    <t>Опыт реализации аналогичных видов работ за последние 2-3 года (указать не более 5 ключевых объектов и их заказчиков )</t>
  </si>
  <si>
    <t>17</t>
  </si>
  <si>
    <t>18</t>
  </si>
  <si>
    <t>19</t>
  </si>
  <si>
    <t>20</t>
  </si>
  <si>
    <t>21</t>
  </si>
  <si>
    <t>22</t>
  </si>
  <si>
    <t>Стоимость комплекса работ</t>
  </si>
  <si>
    <r>
      <rPr>
        <b/>
        <i/>
        <sz val="14"/>
        <color theme="1"/>
        <rFont val="Times New Roman"/>
        <family val="1"/>
        <charset val="204"/>
      </rPr>
      <t xml:space="preserve">Авансирование (руб. /без аванса)не более 30% от суммы планируемого выполнения работ/услуг в отчетном периоде (отчетный период 1 календарный месяц) + оплата материалов по распред. письмам
</t>
    </r>
    <r>
      <rPr>
        <b/>
        <i/>
        <sz val="14"/>
        <color rgb="FFFF0000"/>
        <rFont val="Times New Roman"/>
        <family val="1"/>
        <charset val="204"/>
      </rPr>
      <t xml:space="preserve">*В случае, если суммы фактически выполненных работ за отчетный период будет не достаточно для зачета авансового платежа, на сумму незакрытого в указанном отчетном периоде авансового платежа начисляются проценты  за пользование чужими денежными средствами в размере 1/365 ключевой ставки  ЦБ РФ за каждый день просрочки    </t>
    </r>
    <r>
      <rPr>
        <b/>
        <i/>
        <u/>
        <sz val="14"/>
        <color rgb="FFFF0000"/>
        <rFont val="Times New Roman"/>
        <family val="1"/>
        <charset val="204"/>
      </rPr>
      <t xml:space="preserve">        </t>
    </r>
    <r>
      <rPr>
        <b/>
        <i/>
        <u/>
        <sz val="14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</si>
  <si>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Гарантийный срок  на выполненные работы по договору - </t>
    </r>
    <r>
      <rPr>
        <b/>
        <i/>
        <sz val="14"/>
        <color rgb="FFFF0000"/>
        <rFont val="Times New Roman"/>
        <family val="1"/>
        <charset val="204"/>
      </rPr>
      <t>60 (Шестьдесят) месяцев с даты получения Разрешения на ввод Объекта в эксплуатацию.</t>
    </r>
  </si>
  <si>
    <r>
      <t xml:space="preserve">Гарантия на материалы и оборудование - </t>
    </r>
    <r>
      <rPr>
        <b/>
        <i/>
        <sz val="14"/>
        <color rgb="FFFF0000"/>
        <rFont val="Times New Roman"/>
        <family val="1"/>
        <charset val="204"/>
      </rPr>
      <t>60 (Шестьдесят) месяцев с даты получения Разрешения на ввод Объекта в эксплуатацию.</t>
    </r>
  </si>
  <si>
    <t>В стоимости учтены расходы комиссии временное подсоединение коммуникаций (электроэнергии), тепловой энергией, водой и другими ресурсами на период выполнения работ (да/нет)</t>
  </si>
  <si>
    <t>23</t>
  </si>
  <si>
    <r>
      <t>Отсрочка платежа (не ранее 15 (Пятнадцати) рабочих дней</t>
    </r>
    <r>
      <rPr>
        <b/>
        <i/>
        <sz val="14"/>
        <color rgb="FFFF0000"/>
        <rFont val="Times New Roman"/>
        <family val="1"/>
        <charset val="204"/>
      </rPr>
      <t xml:space="preserve"> после подписания без замечаний (формы № КС-2/КС-3) -  (да/нет)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</si>
</sst>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u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300">
    <xf numFmtId="0" fontId="0" fillId="0" borderId="0" xfId="0"/>
    <xf numFmtId="0" fontId="0" fillId="0" borderId="0" xfId="0" applyProtection="1"/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left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Protection="1"/>
    <xf numFmtId="0" fontId="4" fillId="6" borderId="1" xfId="0" applyFont="1" applyFill="1" applyBorder="1" applyAlignment="1" applyProtection="1">
      <alignment horizontal="right" vertical="center" wrapText="1"/>
    </xf>
    <xf numFmtId="4" fontId="0" fillId="6" borderId="1" xfId="0" applyNumberFormat="1" applyFill="1" applyBorder="1" applyProtection="1"/>
    <xf numFmtId="4" fontId="0" fillId="6" borderId="1" xfId="0" applyNumberFormat="1" applyFont="1" applyFill="1" applyBorder="1" applyAlignment="1" applyProtection="1">
      <alignment horizontal="center"/>
    </xf>
    <xf numFmtId="4" fontId="15" fillId="6" borderId="1" xfId="0" applyNumberFormat="1" applyFont="1" applyFill="1" applyBorder="1" applyAlignment="1" applyProtection="1">
      <alignment horizontal="center"/>
    </xf>
    <xf numFmtId="0" fontId="17" fillId="6" borderId="1" xfId="0" applyFont="1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center"/>
    </xf>
    <xf numFmtId="4" fontId="17" fillId="6" borderId="1" xfId="0" applyNumberFormat="1" applyFont="1" applyFill="1" applyBorder="1" applyAlignment="1" applyProtection="1">
      <alignment horizontal="center"/>
    </xf>
    <xf numFmtId="4" fontId="0" fillId="0" borderId="0" xfId="0" applyNumberFormat="1" applyProtection="1"/>
    <xf numFmtId="0" fontId="14" fillId="0" borderId="5" xfId="0" applyFont="1" applyBorder="1" applyProtection="1"/>
    <xf numFmtId="4" fontId="0" fillId="0" borderId="5" xfId="0" applyNumberFormat="1" applyBorder="1" applyProtection="1"/>
    <xf numFmtId="0" fontId="0" fillId="0" borderId="7" xfId="0" applyBorder="1" applyProtection="1"/>
    <xf numFmtId="0" fontId="0" fillId="0" borderId="6" xfId="0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 wrapText="1"/>
    </xf>
    <xf numFmtId="0" fontId="10" fillId="2" borderId="0" xfId="0" applyFont="1" applyFill="1" applyProtection="1"/>
    <xf numFmtId="0" fontId="11" fillId="0" borderId="0" xfId="0" applyFont="1" applyProtection="1"/>
    <xf numFmtId="0" fontId="9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8" fillId="0" borderId="0" xfId="0" applyFont="1" applyAlignment="1" applyProtection="1">
      <alignment vertical="center"/>
    </xf>
    <xf numFmtId="4" fontId="8" fillId="0" borderId="0" xfId="0" applyNumberFormat="1" applyFont="1" applyAlignment="1" applyProtection="1">
      <alignment horizontal="center" vertical="center"/>
    </xf>
    <xf numFmtId="0" fontId="12" fillId="0" borderId="0" xfId="0" applyFont="1" applyProtection="1"/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</xf>
    <xf numFmtId="4" fontId="5" fillId="8" borderId="1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4" fontId="0" fillId="8" borderId="1" xfId="0" applyNumberFormat="1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0" fillId="8" borderId="0" xfId="0" applyFill="1" applyProtection="1"/>
    <xf numFmtId="4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Protection="1">
      <protection locked="0"/>
    </xf>
    <xf numFmtId="49" fontId="5" fillId="8" borderId="1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/>
    </xf>
    <xf numFmtId="4" fontId="6" fillId="8" borderId="5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/>
    </xf>
    <xf numFmtId="4" fontId="0" fillId="5" borderId="6" xfId="0" applyNumberFormat="1" applyFill="1" applyBorder="1" applyAlignment="1" applyProtection="1">
      <alignment horizontal="center" vertical="center"/>
      <protection locked="0"/>
    </xf>
    <xf numFmtId="4" fontId="0" fillId="8" borderId="6" xfId="0" applyNumberFormat="1" applyFill="1" applyBorder="1" applyAlignment="1" applyProtection="1">
      <alignment horizontal="center" vertical="center"/>
      <protection locked="0"/>
    </xf>
    <xf numFmtId="0" fontId="0" fillId="8" borderId="6" xfId="0" applyFill="1" applyBorder="1" applyProtection="1"/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0" fillId="6" borderId="4" xfId="0" applyNumberFormat="1" applyFill="1" applyBorder="1" applyProtection="1"/>
    <xf numFmtId="4" fontId="2" fillId="3" borderId="15" xfId="0" applyNumberFormat="1" applyFont="1" applyFill="1" applyBorder="1" applyAlignment="1" applyProtection="1">
      <alignment horizontal="center" vertical="center"/>
    </xf>
    <xf numFmtId="4" fontId="5" fillId="8" borderId="15" xfId="0" applyNumberFormat="1" applyFont="1" applyFill="1" applyBorder="1" applyAlignment="1" applyProtection="1">
      <alignment horizontal="center" vertical="center" wrapText="1"/>
    </xf>
    <xf numFmtId="4" fontId="4" fillId="8" borderId="15" xfId="0" applyNumberFormat="1" applyFont="1" applyFill="1" applyBorder="1" applyAlignment="1" applyProtection="1">
      <alignment horizontal="center" vertical="center" wrapText="1"/>
    </xf>
    <xf numFmtId="4" fontId="4" fillId="8" borderId="16" xfId="0" applyNumberFormat="1" applyFont="1" applyFill="1" applyBorder="1" applyAlignment="1" applyProtection="1">
      <alignment horizontal="center" vertical="center" wrapText="1"/>
    </xf>
    <xf numFmtId="4" fontId="4" fillId="8" borderId="17" xfId="0" applyNumberFormat="1" applyFont="1" applyFill="1" applyBorder="1" applyAlignment="1" applyProtection="1">
      <alignment horizontal="center" vertical="center" wrapText="1"/>
    </xf>
    <xf numFmtId="4" fontId="4" fillId="8" borderId="10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/>
    </xf>
    <xf numFmtId="4" fontId="5" fillId="8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0" fillId="6" borderId="4" xfId="0" applyFill="1" applyBorder="1" applyProtection="1"/>
    <xf numFmtId="4" fontId="2" fillId="7" borderId="17" xfId="0" applyNumberFormat="1" applyFont="1" applyFill="1" applyBorder="1" applyAlignment="1" applyProtection="1">
      <alignment horizontal="center" vertical="center"/>
    </xf>
    <xf numFmtId="4" fontId="6" fillId="8" borderId="15" xfId="0" applyNumberFormat="1" applyFont="1" applyFill="1" applyBorder="1" applyAlignment="1" applyProtection="1">
      <alignment horizontal="center" vertical="center" wrapText="1"/>
    </xf>
    <xf numFmtId="4" fontId="4" fillId="7" borderId="15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0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/>
    </xf>
    <xf numFmtId="4" fontId="6" fillId="8" borderId="6" xfId="0" applyNumberFormat="1" applyFont="1" applyFill="1" applyBorder="1" applyAlignment="1" applyProtection="1">
      <alignment horizontal="center" vertical="center" wrapText="1"/>
    </xf>
    <xf numFmtId="4" fontId="5" fillId="8" borderId="6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8" borderId="14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 applyProtection="1">
      <alignment horizontal="center" vertical="center" wrapText="1"/>
    </xf>
    <xf numFmtId="4" fontId="4" fillId="9" borderId="17" xfId="0" applyNumberFormat="1" applyFont="1" applyFill="1" applyBorder="1" applyAlignment="1" applyProtection="1">
      <alignment horizontal="center" vertical="center" wrapText="1"/>
    </xf>
    <xf numFmtId="49" fontId="5" fillId="9" borderId="1" xfId="0" applyNumberFormat="1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4" fontId="5" fillId="9" borderId="20" xfId="0" applyNumberFormat="1" applyFont="1" applyFill="1" applyBorder="1" applyAlignment="1" applyProtection="1">
      <alignment horizontal="center" vertical="center" wrapText="1"/>
    </xf>
    <xf numFmtId="4" fontId="4" fillId="9" borderId="10" xfId="0" applyNumberFormat="1" applyFont="1" applyFill="1" applyBorder="1" applyAlignment="1" applyProtection="1">
      <alignment horizontal="center" vertical="center" wrapText="1"/>
    </xf>
    <xf numFmtId="4" fontId="5" fillId="9" borderId="6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29" fillId="3" borderId="1" xfId="0" applyNumberFormat="1" applyFont="1" applyFill="1" applyBorder="1" applyProtection="1"/>
    <xf numFmtId="0" fontId="0" fillId="0" borderId="0" xfId="0" applyNumberFormat="1" applyProtection="1"/>
    <xf numFmtId="0" fontId="27" fillId="0" borderId="0" xfId="0" applyNumberFormat="1" applyFont="1" applyProtection="1"/>
    <xf numFmtId="0" fontId="29" fillId="4" borderId="1" xfId="0" applyFont="1" applyFill="1" applyBorder="1" applyProtection="1"/>
    <xf numFmtId="4" fontId="29" fillId="0" borderId="1" xfId="0" applyNumberFormat="1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Protection="1">
      <protection locked="0"/>
    </xf>
    <xf numFmtId="0" fontId="29" fillId="0" borderId="1" xfId="0" applyFont="1" applyBorder="1" applyProtection="1">
      <protection locked="0"/>
    </xf>
    <xf numFmtId="0" fontId="31" fillId="4" borderId="1" xfId="0" applyFont="1" applyFill="1" applyBorder="1" applyAlignment="1" applyProtection="1">
      <alignment vertical="top" wrapText="1"/>
      <protection locked="0"/>
    </xf>
    <xf numFmtId="0" fontId="29" fillId="8" borderId="1" xfId="0" applyFont="1" applyFill="1" applyBorder="1" applyProtection="1">
      <protection locked="0"/>
    </xf>
    <xf numFmtId="0" fontId="29" fillId="0" borderId="1" xfId="0" applyFont="1" applyFill="1" applyBorder="1" applyProtection="1">
      <protection locked="0"/>
    </xf>
    <xf numFmtId="0" fontId="29" fillId="2" borderId="1" xfId="0" applyFont="1" applyFill="1" applyBorder="1" applyProtection="1">
      <protection locked="0"/>
    </xf>
    <xf numFmtId="0" fontId="29" fillId="10" borderId="1" xfId="0" applyFont="1" applyFill="1" applyBorder="1" applyProtection="1">
      <protection locked="0"/>
    </xf>
    <xf numFmtId="0" fontId="29" fillId="3" borderId="1" xfId="0" applyFont="1" applyFill="1" applyBorder="1" applyProtection="1"/>
    <xf numFmtId="0" fontId="35" fillId="5" borderId="0" xfId="0" applyFont="1" applyFill="1" applyAlignment="1" applyProtection="1">
      <alignment vertical="center"/>
      <protection locked="0"/>
    </xf>
    <xf numFmtId="49" fontId="36" fillId="0" borderId="0" xfId="0" applyNumberFormat="1" applyFont="1" applyAlignment="1" applyProtection="1">
      <alignment horizontal="center" vertical="center"/>
      <protection locked="0"/>
    </xf>
    <xf numFmtId="0" fontId="36" fillId="0" borderId="0" xfId="0" applyFont="1" applyProtection="1">
      <protection locked="0"/>
    </xf>
    <xf numFmtId="49" fontId="28" fillId="0" borderId="1" xfId="0" applyNumberFormat="1" applyFont="1" applyBorder="1" applyAlignment="1">
      <alignment horizontal="center" vertical="center" wrapText="1"/>
    </xf>
    <xf numFmtId="0" fontId="42" fillId="5" borderId="5" xfId="0" applyFont="1" applyFill="1" applyBorder="1" applyAlignment="1" applyProtection="1">
      <alignment horizontal="center" vertical="center"/>
      <protection locked="0"/>
    </xf>
    <xf numFmtId="0" fontId="42" fillId="5" borderId="7" xfId="0" applyFont="1" applyFill="1" applyBorder="1" applyAlignment="1" applyProtection="1">
      <alignment horizontal="center" vertical="center"/>
      <protection locked="0"/>
    </xf>
    <xf numFmtId="0" fontId="42" fillId="5" borderId="6" xfId="0" applyFont="1" applyFill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 applyProtection="1">
      <alignment horizontal="left" vertical="center"/>
    </xf>
    <xf numFmtId="4" fontId="28" fillId="3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7" fillId="0" borderId="0" xfId="0" applyNumberFormat="1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5" fillId="4" borderId="1" xfId="0" applyNumberFormat="1" applyFont="1" applyFill="1" applyBorder="1" applyAlignment="1" applyProtection="1">
      <alignment horizontal="center" vertical="center" wrapText="1"/>
    </xf>
    <xf numFmtId="0" fontId="45" fillId="4" borderId="6" xfId="0" applyFont="1" applyFill="1" applyBorder="1" applyAlignment="1" applyProtection="1">
      <alignment horizontal="center" vertical="center"/>
    </xf>
    <xf numFmtId="0" fontId="45" fillId="4" borderId="1" xfId="0" applyFont="1" applyFill="1" applyBorder="1" applyAlignment="1" applyProtection="1">
      <alignment horizontal="center" vertical="center"/>
    </xf>
    <xf numFmtId="4" fontId="45" fillId="4" borderId="1" xfId="0" applyNumberFormat="1" applyFont="1" applyFill="1" applyBorder="1" applyAlignment="1" applyProtection="1">
      <alignment horizontal="center" vertical="center"/>
    </xf>
    <xf numFmtId="49" fontId="45" fillId="0" borderId="1" xfId="0" applyNumberFormat="1" applyFont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left" vertical="center" wrapText="1"/>
    </xf>
    <xf numFmtId="0" fontId="45" fillId="0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4" fontId="45" fillId="5" borderId="1" xfId="0" applyNumberFormat="1" applyFont="1" applyFill="1" applyBorder="1" applyAlignment="1" applyProtection="1">
      <alignment horizontal="center" vertical="center"/>
      <protection locked="0"/>
    </xf>
    <xf numFmtId="4" fontId="45" fillId="0" borderId="1" xfId="0" applyNumberFormat="1" applyFont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45" fillId="4" borderId="1" xfId="0" applyFont="1" applyFill="1" applyBorder="1" applyProtection="1"/>
    <xf numFmtId="0" fontId="45" fillId="9" borderId="1" xfId="0" applyFont="1" applyFill="1" applyBorder="1" applyAlignment="1" applyProtection="1">
      <alignment horizontal="left" vertical="center" wrapText="1"/>
    </xf>
    <xf numFmtId="0" fontId="45" fillId="9" borderId="1" xfId="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49" fontId="45" fillId="0" borderId="1" xfId="0" applyNumberFormat="1" applyFont="1" applyFill="1" applyBorder="1" applyAlignment="1" applyProtection="1">
      <alignment horizontal="center" vertical="center" wrapText="1"/>
    </xf>
    <xf numFmtId="0" fontId="45" fillId="0" borderId="6" xfId="0" applyNumberFormat="1" applyFont="1" applyFill="1" applyBorder="1" applyAlignment="1" applyProtection="1">
      <alignment horizontal="center" vertical="center" wrapText="1"/>
    </xf>
    <xf numFmtId="49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0" fontId="45" fillId="8" borderId="1" xfId="0" applyNumberFormat="1" applyFont="1" applyFill="1" applyBorder="1" applyAlignment="1" applyProtection="1">
      <alignment horizontal="center" vertical="center" wrapText="1"/>
    </xf>
    <xf numFmtId="4" fontId="45" fillId="8" borderId="1" xfId="0" applyNumberFormat="1" applyFont="1" applyFill="1" applyBorder="1" applyAlignment="1" applyProtection="1">
      <alignment horizontal="center" vertical="center"/>
    </xf>
    <xf numFmtId="49" fontId="45" fillId="2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vertical="center" wrapText="1"/>
    </xf>
    <xf numFmtId="4" fontId="45" fillId="4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>
      <alignment horizontal="left" vertical="center" wrapText="1"/>
    </xf>
    <xf numFmtId="0" fontId="45" fillId="9" borderId="1" xfId="0" applyFont="1" applyFill="1" applyBorder="1" applyAlignment="1">
      <alignment horizontal="left" vertical="center" wrapText="1"/>
    </xf>
    <xf numFmtId="0" fontId="45" fillId="9" borderId="1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1" fontId="45" fillId="4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5" fillId="4" borderId="1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5" fillId="10" borderId="1" xfId="0" applyNumberFormat="1" applyFont="1" applyFill="1" applyBorder="1" applyAlignment="1" applyProtection="1">
      <alignment horizontal="center" vertical="center" wrapText="1"/>
    </xf>
    <xf numFmtId="0" fontId="45" fillId="10" borderId="1" xfId="0" applyFont="1" applyFill="1" applyBorder="1" applyProtection="1"/>
    <xf numFmtId="49" fontId="45" fillId="10" borderId="1" xfId="0" applyNumberFormat="1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left" vertical="center" wrapText="1"/>
    </xf>
    <xf numFmtId="0" fontId="32" fillId="0" borderId="0" xfId="2" applyFont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4" fontId="3" fillId="8" borderId="1" xfId="0" applyNumberFormat="1" applyFont="1" applyFill="1" applyBorder="1" applyAlignment="1" applyProtection="1">
      <alignment horizontal="center" vertical="center"/>
    </xf>
    <xf numFmtId="0" fontId="46" fillId="9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21" fillId="5" borderId="5" xfId="0" applyFont="1" applyFill="1" applyBorder="1" applyAlignment="1" applyProtection="1">
      <alignment horizontal="center" vertical="center" wrapText="1"/>
      <protection locked="0"/>
    </xf>
    <xf numFmtId="0" fontId="21" fillId="5" borderId="7" xfId="0" applyFont="1" applyFill="1" applyBorder="1" applyAlignment="1" applyProtection="1">
      <alignment horizontal="center" vertical="center" wrapText="1"/>
      <protection locked="0"/>
    </xf>
    <xf numFmtId="0" fontId="21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4" fontId="21" fillId="5" borderId="5" xfId="0" applyNumberFormat="1" applyFont="1" applyFill="1" applyBorder="1" applyAlignment="1" applyProtection="1">
      <alignment horizontal="center" vertical="center"/>
      <protection locked="0"/>
    </xf>
    <xf numFmtId="4" fontId="21" fillId="5" borderId="7" xfId="0" applyNumberFormat="1" applyFont="1" applyFill="1" applyBorder="1" applyAlignment="1" applyProtection="1">
      <alignment horizontal="center" vertical="center"/>
      <protection locked="0"/>
    </xf>
    <xf numFmtId="4" fontId="21" fillId="5" borderId="6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21" xfId="0" applyNumberFormat="1" applyFont="1" applyFill="1" applyBorder="1" applyAlignment="1" applyProtection="1">
      <alignment horizontal="center" vertical="center"/>
      <protection locked="0"/>
    </xf>
    <xf numFmtId="4" fontId="21" fillId="5" borderId="9" xfId="0" applyNumberFormat="1" applyFont="1" applyFill="1" applyBorder="1" applyAlignment="1" applyProtection="1">
      <alignment horizontal="center" vertical="center"/>
      <protection locked="0"/>
    </xf>
    <xf numFmtId="4" fontId="21" fillId="5" borderId="11" xfId="0" applyNumberFormat="1" applyFont="1" applyFill="1" applyBorder="1" applyAlignment="1" applyProtection="1">
      <alignment horizontal="center" vertical="center"/>
      <protection locked="0"/>
    </xf>
    <xf numFmtId="4" fontId="21" fillId="5" borderId="22" xfId="0" applyNumberFormat="1" applyFont="1" applyFill="1" applyBorder="1" applyAlignment="1" applyProtection="1">
      <alignment horizontal="center" vertical="center"/>
      <protection locked="0"/>
    </xf>
    <xf numFmtId="4" fontId="21" fillId="5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wrapText="1"/>
    </xf>
    <xf numFmtId="0" fontId="20" fillId="0" borderId="0" xfId="2" applyFont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4" fontId="2" fillId="8" borderId="12" xfId="0" applyNumberFormat="1" applyFont="1" applyFill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8" borderId="14" xfId="0" applyNumberFormat="1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5" fillId="9" borderId="1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 wrapText="1"/>
    </xf>
    <xf numFmtId="4" fontId="5" fillId="9" borderId="6" xfId="0" applyNumberFormat="1" applyFont="1" applyFill="1" applyBorder="1" applyAlignment="1" applyProtection="1">
      <alignment horizontal="center" vertical="center" wrapText="1"/>
    </xf>
    <xf numFmtId="4" fontId="2" fillId="7" borderId="18" xfId="0" applyNumberFormat="1" applyFont="1" applyFill="1" applyBorder="1" applyAlignment="1" applyProtection="1">
      <alignment horizontal="center" vertical="center" wrapText="1"/>
    </xf>
    <xf numFmtId="4" fontId="2" fillId="7" borderId="13" xfId="0" applyNumberFormat="1" applyFont="1" applyFill="1" applyBorder="1" applyAlignment="1" applyProtection="1">
      <alignment horizontal="center" vertical="center" wrapText="1"/>
    </xf>
    <xf numFmtId="4" fontId="2" fillId="7" borderId="14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4" fontId="2" fillId="7" borderId="15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top" wrapText="1"/>
    </xf>
    <xf numFmtId="0" fontId="16" fillId="2" borderId="7" xfId="0" applyFont="1" applyFill="1" applyBorder="1" applyAlignment="1" applyProtection="1">
      <alignment horizontal="left" vertical="top" wrapText="1"/>
    </xf>
    <xf numFmtId="0" fontId="16" fillId="2" borderId="6" xfId="0" applyFont="1" applyFill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49" fontId="39" fillId="0" borderId="1" xfId="0" applyNumberFormat="1" applyFont="1" applyBorder="1" applyAlignment="1">
      <alignment horizontal="left" vertical="center" wrapText="1"/>
    </xf>
    <xf numFmtId="0" fontId="42" fillId="5" borderId="5" xfId="0" applyFont="1" applyFill="1" applyBorder="1" applyAlignment="1" applyProtection="1">
      <alignment horizontal="center" vertical="center"/>
      <protection locked="0"/>
    </xf>
    <xf numFmtId="0" fontId="42" fillId="5" borderId="7" xfId="0" applyFont="1" applyFill="1" applyBorder="1" applyAlignment="1" applyProtection="1">
      <alignment horizontal="center" vertical="center"/>
      <protection locked="0"/>
    </xf>
    <xf numFmtId="0" fontId="42" fillId="5" borderId="6" xfId="0" applyFont="1" applyFill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left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5" fillId="0" borderId="6" xfId="0" applyNumberFormat="1" applyFont="1" applyFill="1" applyBorder="1" applyAlignment="1" applyProtection="1">
      <alignment horizontal="center" vertical="center" wrapText="1"/>
    </xf>
    <xf numFmtId="0" fontId="45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 vertical="center" wrapText="1"/>
    </xf>
    <xf numFmtId="0" fontId="34" fillId="0" borderId="0" xfId="2" applyFont="1" applyAlignment="1" applyProtection="1">
      <alignment horizontal="center" vertical="center"/>
    </xf>
    <xf numFmtId="0" fontId="47" fillId="0" borderId="0" xfId="2" applyFont="1" applyAlignment="1" applyProtection="1">
      <alignment horizontal="center" vertical="center" wrapText="1"/>
    </xf>
    <xf numFmtId="0" fontId="32" fillId="0" borderId="0" xfId="2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45" fillId="9" borderId="5" xfId="0" applyNumberFormat="1" applyFont="1" applyFill="1" applyBorder="1" applyAlignment="1">
      <alignment horizontal="center" vertical="center" wrapText="1"/>
    </xf>
    <xf numFmtId="0" fontId="45" fillId="9" borderId="6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Border="1" applyAlignment="1">
      <alignment horizontal="left" vertical="center" wrapText="1"/>
    </xf>
    <xf numFmtId="49" fontId="40" fillId="0" borderId="7" xfId="0" applyNumberFormat="1" applyFont="1" applyBorder="1" applyAlignment="1">
      <alignment horizontal="left" vertical="center" wrapText="1"/>
    </xf>
    <xf numFmtId="49" fontId="40" fillId="0" borderId="6" xfId="0" applyNumberFormat="1" applyFont="1" applyBorder="1" applyAlignment="1">
      <alignment horizontal="left" vertical="center" wrapText="1"/>
    </xf>
    <xf numFmtId="0" fontId="49" fillId="0" borderId="0" xfId="1" applyFont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colors>
    <mruColors>
      <color rgb="FFFCC3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5"/>
  <sheetViews>
    <sheetView topLeftCell="A310" zoomScale="80" zoomScaleNormal="80" workbookViewId="0">
      <selection activeCell="F327" sqref="F327"/>
    </sheetView>
  </sheetViews>
  <sheetFormatPr defaultColWidth="9.140625" defaultRowHeight="15" outlineLevelRow="2" x14ac:dyDescent="0.25"/>
  <cols>
    <col min="1" max="1" width="8" style="1" customWidth="1"/>
    <col min="2" max="2" width="46" style="1" customWidth="1"/>
    <col min="3" max="3" width="8" style="1" customWidth="1"/>
    <col min="4" max="9" width="9.140625" style="1" customWidth="1"/>
    <col min="10" max="10" width="9.85546875" style="1" bestFit="1" customWidth="1"/>
    <col min="11" max="16" width="9.140625" style="1" customWidth="1"/>
    <col min="17" max="17" width="9.85546875" style="1" bestFit="1" customWidth="1"/>
    <col min="18" max="18" width="11.85546875" style="1" customWidth="1"/>
    <col min="19" max="20" width="14.7109375" style="1" customWidth="1"/>
    <col min="21" max="21" width="16.42578125" style="1" customWidth="1"/>
    <col min="22" max="24" width="16.28515625" style="1" customWidth="1"/>
    <col min="25" max="25" width="19.28515625" style="1" customWidth="1"/>
    <col min="26" max="16384" width="9.140625" style="1"/>
  </cols>
  <sheetData>
    <row r="1" spans="1:25" ht="33" customHeight="1" x14ac:dyDescent="0.25">
      <c r="A1" s="228" t="s">
        <v>443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ht="51.75" customHeight="1" x14ac:dyDescent="0.25">
      <c r="A2" s="229" t="s">
        <v>444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15" customHeight="1" thickBot="1" x14ac:dyDescent="0.3">
      <c r="A3" s="230" t="s">
        <v>445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25" ht="25.5" customHeight="1" x14ac:dyDescent="0.25">
      <c r="A4" s="248" t="s">
        <v>0</v>
      </c>
      <c r="B4" s="260" t="s">
        <v>1</v>
      </c>
      <c r="C4" s="26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96" t="s">
        <v>8</v>
      </c>
      <c r="J4" s="103" t="s">
        <v>617</v>
      </c>
      <c r="K4" s="109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96" t="s">
        <v>14</v>
      </c>
      <c r="Q4" s="103" t="s">
        <v>619</v>
      </c>
      <c r="R4" s="234" t="s">
        <v>15</v>
      </c>
      <c r="S4" s="237" t="s">
        <v>408</v>
      </c>
      <c r="T4" s="238"/>
      <c r="U4" s="238"/>
      <c r="V4" s="238"/>
      <c r="W4" s="238"/>
      <c r="X4" s="238"/>
      <c r="Y4" s="238"/>
    </row>
    <row r="5" spans="1:25" ht="30" customHeight="1" x14ac:dyDescent="0.25">
      <c r="A5" s="248"/>
      <c r="B5" s="260"/>
      <c r="C5" s="261"/>
      <c r="D5" s="2"/>
      <c r="E5" s="2"/>
      <c r="F5" s="2"/>
      <c r="G5" s="2"/>
      <c r="H5" s="2"/>
      <c r="I5" s="96"/>
      <c r="J5" s="256" t="s">
        <v>618</v>
      </c>
      <c r="K5" s="109"/>
      <c r="L5" s="2"/>
      <c r="M5" s="2"/>
      <c r="N5" s="2"/>
      <c r="O5" s="2"/>
      <c r="P5" s="96"/>
      <c r="Q5" s="251" t="s">
        <v>620</v>
      </c>
      <c r="R5" s="235"/>
      <c r="S5" s="237"/>
      <c r="T5" s="238"/>
      <c r="U5" s="238"/>
      <c r="V5" s="238"/>
      <c r="W5" s="238"/>
      <c r="X5" s="238"/>
      <c r="Y5" s="238"/>
    </row>
    <row r="6" spans="1:25" ht="22.5" customHeight="1" x14ac:dyDescent="0.25">
      <c r="A6" s="248"/>
      <c r="B6" s="260"/>
      <c r="C6" s="261"/>
      <c r="D6" s="2"/>
      <c r="E6" s="2"/>
      <c r="F6" s="2"/>
      <c r="G6" s="2"/>
      <c r="H6" s="2"/>
      <c r="I6" s="96"/>
      <c r="J6" s="256"/>
      <c r="K6" s="109"/>
      <c r="L6" s="2"/>
      <c r="M6" s="2"/>
      <c r="N6" s="2"/>
      <c r="O6" s="2"/>
      <c r="P6" s="96"/>
      <c r="Q6" s="252"/>
      <c r="R6" s="235"/>
      <c r="S6" s="239" t="s">
        <v>409</v>
      </c>
      <c r="T6" s="240"/>
      <c r="U6" s="240"/>
      <c r="V6" s="241" t="s">
        <v>410</v>
      </c>
      <c r="W6" s="241"/>
      <c r="X6" s="241"/>
      <c r="Y6" s="242" t="s">
        <v>411</v>
      </c>
    </row>
    <row r="7" spans="1:25" x14ac:dyDescent="0.25">
      <c r="A7" s="248"/>
      <c r="B7" s="260"/>
      <c r="C7" s="261"/>
      <c r="D7" s="2"/>
      <c r="E7" s="2"/>
      <c r="F7" s="2"/>
      <c r="G7" s="2"/>
      <c r="H7" s="2"/>
      <c r="I7" s="96"/>
      <c r="J7" s="256"/>
      <c r="K7" s="109"/>
      <c r="L7" s="2"/>
      <c r="M7" s="2"/>
      <c r="N7" s="2"/>
      <c r="O7" s="2"/>
      <c r="P7" s="96"/>
      <c r="Q7" s="253"/>
      <c r="R7" s="236"/>
      <c r="S7" s="81" t="s">
        <v>412</v>
      </c>
      <c r="T7" s="3" t="s">
        <v>413</v>
      </c>
      <c r="U7" s="3" t="s">
        <v>414</v>
      </c>
      <c r="V7" s="3" t="s">
        <v>412</v>
      </c>
      <c r="W7" s="3" t="s">
        <v>413</v>
      </c>
      <c r="X7" s="3" t="s">
        <v>414</v>
      </c>
      <c r="Y7" s="242"/>
    </row>
    <row r="8" spans="1:25" ht="15.75" x14ac:dyDescent="0.25">
      <c r="A8" s="4"/>
      <c r="B8" s="5" t="s">
        <v>16</v>
      </c>
      <c r="C8" s="6"/>
      <c r="D8" s="6"/>
      <c r="E8" s="6"/>
      <c r="F8" s="6"/>
      <c r="G8" s="6"/>
      <c r="H8" s="6"/>
      <c r="I8" s="79"/>
      <c r="J8" s="90"/>
      <c r="K8" s="110"/>
      <c r="L8" s="6"/>
      <c r="M8" s="6"/>
      <c r="N8" s="6"/>
      <c r="O8" s="6"/>
      <c r="P8" s="79"/>
      <c r="Q8" s="90"/>
      <c r="R8" s="90"/>
      <c r="S8" s="82"/>
      <c r="T8" s="7"/>
      <c r="U8" s="7"/>
      <c r="V8" s="7"/>
      <c r="W8" s="7"/>
      <c r="X8" s="7"/>
      <c r="Y8" s="8"/>
    </row>
    <row r="9" spans="1:25" s="75" customFormat="1" ht="15" customHeight="1" x14ac:dyDescent="0.25">
      <c r="A9" s="67" t="s">
        <v>17</v>
      </c>
      <c r="B9" s="68" t="s">
        <v>621</v>
      </c>
      <c r="C9" s="69"/>
      <c r="D9" s="70"/>
      <c r="E9" s="70"/>
      <c r="F9" s="70"/>
      <c r="G9" s="70"/>
      <c r="H9" s="70"/>
      <c r="I9" s="80"/>
      <c r="J9" s="104"/>
      <c r="K9" s="111"/>
      <c r="L9" s="70"/>
      <c r="M9" s="70"/>
      <c r="N9" s="70"/>
      <c r="O9" s="70"/>
      <c r="P9" s="80"/>
      <c r="Q9" s="104"/>
      <c r="R9" s="91"/>
      <c r="S9" s="83"/>
      <c r="T9" s="72"/>
      <c r="U9" s="72"/>
      <c r="V9" s="73">
        <f>SUM(V10:V27)</f>
        <v>0</v>
      </c>
      <c r="W9" s="73">
        <f>SUM(W10:W27)</f>
        <v>0</v>
      </c>
      <c r="X9" s="73">
        <f>SUM(X10:X27)</f>
        <v>0</v>
      </c>
      <c r="Y9" s="74"/>
    </row>
    <row r="10" spans="1:25" ht="25.5" outlineLevel="1" x14ac:dyDescent="0.25">
      <c r="A10" s="16" t="s">
        <v>19</v>
      </c>
      <c r="B10" s="17" t="s">
        <v>20</v>
      </c>
      <c r="C10" s="18" t="s">
        <v>21</v>
      </c>
      <c r="D10" s="51">
        <v>4.2230000000000008</v>
      </c>
      <c r="E10" s="51">
        <v>3.0420000000000007</v>
      </c>
      <c r="F10" s="51">
        <v>0</v>
      </c>
      <c r="G10" s="51">
        <v>1.83</v>
      </c>
      <c r="H10" s="51">
        <v>0</v>
      </c>
      <c r="I10" s="62">
        <v>2.448</v>
      </c>
      <c r="J10" s="105">
        <f>SUM(D10:I10)</f>
        <v>11.543000000000003</v>
      </c>
      <c r="K10" s="63">
        <v>5.2940000000000005</v>
      </c>
      <c r="L10" s="51">
        <v>1.3679999999999999</v>
      </c>
      <c r="M10" s="51">
        <v>0</v>
      </c>
      <c r="N10" s="51">
        <v>0</v>
      </c>
      <c r="O10" s="51">
        <v>0</v>
      </c>
      <c r="P10" s="62">
        <v>1.3849999999999998</v>
      </c>
      <c r="Q10" s="105">
        <f>SUM(K10:P10)</f>
        <v>8.0470000000000006</v>
      </c>
      <c r="R10" s="92">
        <f t="shared" ref="R10:R27" si="0">J10+Q10</f>
        <v>19.590000000000003</v>
      </c>
      <c r="S10" s="84"/>
      <c r="T10" s="47"/>
      <c r="U10" s="19">
        <f>T10+S10</f>
        <v>0</v>
      </c>
      <c r="V10" s="19">
        <f>R10*S10</f>
        <v>0</v>
      </c>
      <c r="W10" s="19">
        <f>T10*R10</f>
        <v>0</v>
      </c>
      <c r="X10" s="19">
        <f>W10+V10</f>
        <v>0</v>
      </c>
      <c r="Y10" s="48"/>
    </row>
    <row r="11" spans="1:25" ht="25.5" outlineLevel="1" x14ac:dyDescent="0.25">
      <c r="A11" s="16" t="s">
        <v>22</v>
      </c>
      <c r="B11" s="17" t="s">
        <v>23</v>
      </c>
      <c r="C11" s="18" t="s">
        <v>21</v>
      </c>
      <c r="D11" s="51">
        <v>2.1336000000000004</v>
      </c>
      <c r="E11" s="51">
        <v>5.3384999999999998</v>
      </c>
      <c r="F11" s="51">
        <v>0</v>
      </c>
      <c r="G11" s="51">
        <v>1.1766000000000001</v>
      </c>
      <c r="H11" s="51">
        <v>0</v>
      </c>
      <c r="I11" s="62">
        <v>0</v>
      </c>
      <c r="J11" s="105">
        <f t="shared" ref="J11:J27" si="1">SUM(D11:I11)</f>
        <v>8.6486999999999998</v>
      </c>
      <c r="K11" s="63">
        <v>0.21900000000000003</v>
      </c>
      <c r="L11" s="51">
        <v>0</v>
      </c>
      <c r="M11" s="51">
        <v>0</v>
      </c>
      <c r="N11" s="51">
        <v>0</v>
      </c>
      <c r="O11" s="51">
        <v>0</v>
      </c>
      <c r="P11" s="62">
        <v>1.8420000000000003</v>
      </c>
      <c r="Q11" s="105">
        <f t="shared" ref="Q11:Q27" si="2">SUM(K11:P11)</f>
        <v>2.0610000000000004</v>
      </c>
      <c r="R11" s="92">
        <f t="shared" si="0"/>
        <v>10.7097</v>
      </c>
      <c r="S11" s="84"/>
      <c r="T11" s="47"/>
      <c r="U11" s="19">
        <f t="shared" ref="U11:U27" si="3">T11+S11</f>
        <v>0</v>
      </c>
      <c r="V11" s="19">
        <f t="shared" ref="V11:V27" si="4">R11*S11</f>
        <v>0</v>
      </c>
      <c r="W11" s="19">
        <f t="shared" ref="W11:W27" si="5">T11*R11</f>
        <v>0</v>
      </c>
      <c r="X11" s="19">
        <f t="shared" ref="X11:X27" si="6">W11+V11</f>
        <v>0</v>
      </c>
      <c r="Y11" s="48"/>
    </row>
    <row r="12" spans="1:25" ht="25.5" outlineLevel="1" x14ac:dyDescent="0.25">
      <c r="A12" s="16" t="s">
        <v>24</v>
      </c>
      <c r="B12" s="17" t="s">
        <v>25</v>
      </c>
      <c r="C12" s="18" t="s">
        <v>21</v>
      </c>
      <c r="D12" s="51">
        <v>1.7570000000000001</v>
      </c>
      <c r="E12" s="51">
        <v>0</v>
      </c>
      <c r="F12" s="51">
        <v>0</v>
      </c>
      <c r="G12" s="51">
        <v>0</v>
      </c>
      <c r="H12" s="51">
        <v>0</v>
      </c>
      <c r="I12" s="62">
        <v>2.9969999999999999</v>
      </c>
      <c r="J12" s="105">
        <f t="shared" si="1"/>
        <v>4.7539999999999996</v>
      </c>
      <c r="K12" s="63">
        <v>0</v>
      </c>
      <c r="L12" s="51">
        <v>2.8770000000000002</v>
      </c>
      <c r="M12" s="51">
        <v>0</v>
      </c>
      <c r="N12" s="51">
        <v>2.4324999999999997</v>
      </c>
      <c r="O12" s="51">
        <v>0</v>
      </c>
      <c r="P12" s="62">
        <v>0</v>
      </c>
      <c r="Q12" s="105">
        <f t="shared" si="2"/>
        <v>5.3094999999999999</v>
      </c>
      <c r="R12" s="92">
        <f t="shared" si="0"/>
        <v>10.063499999999999</v>
      </c>
      <c r="S12" s="84"/>
      <c r="T12" s="47"/>
      <c r="U12" s="19">
        <f t="shared" si="3"/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  <c r="Y12" s="48"/>
    </row>
    <row r="13" spans="1:25" ht="25.5" outlineLevel="1" x14ac:dyDescent="0.25">
      <c r="A13" s="16" t="s">
        <v>26</v>
      </c>
      <c r="B13" s="17" t="s">
        <v>27</v>
      </c>
      <c r="C13" s="18" t="s">
        <v>21</v>
      </c>
      <c r="D13" s="51">
        <v>2.3519999999999994</v>
      </c>
      <c r="E13" s="51">
        <v>0</v>
      </c>
      <c r="F13" s="51">
        <v>0</v>
      </c>
      <c r="G13" s="51">
        <v>0</v>
      </c>
      <c r="H13" s="51">
        <v>0</v>
      </c>
      <c r="I13" s="62">
        <v>0</v>
      </c>
      <c r="J13" s="105">
        <f t="shared" si="1"/>
        <v>2.3519999999999994</v>
      </c>
      <c r="K13" s="63">
        <v>8.9249999999999996E-2</v>
      </c>
      <c r="L13" s="51">
        <v>0</v>
      </c>
      <c r="M13" s="51">
        <v>0</v>
      </c>
      <c r="N13" s="51">
        <v>0</v>
      </c>
      <c r="O13" s="51">
        <v>0</v>
      </c>
      <c r="P13" s="62">
        <v>0</v>
      </c>
      <c r="Q13" s="105">
        <f t="shared" si="2"/>
        <v>8.9249999999999996E-2</v>
      </c>
      <c r="R13" s="92">
        <f t="shared" si="0"/>
        <v>2.4412499999999993</v>
      </c>
      <c r="S13" s="84"/>
      <c r="T13" s="47"/>
      <c r="U13" s="19">
        <f t="shared" si="3"/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48"/>
    </row>
    <row r="14" spans="1:25" ht="25.5" outlineLevel="1" x14ac:dyDescent="0.25">
      <c r="A14" s="16" t="s">
        <v>28</v>
      </c>
      <c r="B14" s="17" t="s">
        <v>29</v>
      </c>
      <c r="C14" s="18" t="s">
        <v>21</v>
      </c>
      <c r="D14" s="51">
        <v>0.2475</v>
      </c>
      <c r="E14" s="51">
        <v>0.155</v>
      </c>
      <c r="F14" s="51">
        <v>0</v>
      </c>
      <c r="G14" s="51">
        <v>2.2222499999999998</v>
      </c>
      <c r="H14" s="51">
        <v>0</v>
      </c>
      <c r="I14" s="62">
        <v>0</v>
      </c>
      <c r="J14" s="105">
        <f t="shared" si="1"/>
        <v>2.6247499999999997</v>
      </c>
      <c r="K14" s="63">
        <v>7.8524999999999991</v>
      </c>
      <c r="L14" s="51">
        <v>0</v>
      </c>
      <c r="M14" s="51">
        <v>0</v>
      </c>
      <c r="N14" s="51">
        <v>0.37</v>
      </c>
      <c r="O14" s="51">
        <v>0</v>
      </c>
      <c r="P14" s="62">
        <v>0.54</v>
      </c>
      <c r="Q14" s="105">
        <f t="shared" si="2"/>
        <v>8.7624999999999993</v>
      </c>
      <c r="R14" s="92">
        <f t="shared" si="0"/>
        <v>11.387249999999998</v>
      </c>
      <c r="S14" s="84"/>
      <c r="T14" s="47"/>
      <c r="U14" s="19">
        <f t="shared" si="3"/>
        <v>0</v>
      </c>
      <c r="V14" s="19">
        <f t="shared" si="4"/>
        <v>0</v>
      </c>
      <c r="W14" s="19">
        <f t="shared" si="5"/>
        <v>0</v>
      </c>
      <c r="X14" s="19">
        <f t="shared" si="6"/>
        <v>0</v>
      </c>
      <c r="Y14" s="48"/>
    </row>
    <row r="15" spans="1:25" ht="25.5" outlineLevel="1" x14ac:dyDescent="0.25">
      <c r="A15" s="16" t="s">
        <v>30</v>
      </c>
      <c r="B15" s="17" t="s">
        <v>31</v>
      </c>
      <c r="C15" s="18" t="s">
        <v>21</v>
      </c>
      <c r="D15" s="51">
        <v>0</v>
      </c>
      <c r="E15" s="51">
        <v>0.47000000000000003</v>
      </c>
      <c r="F15" s="51">
        <v>0</v>
      </c>
      <c r="G15" s="51">
        <v>0.96200000000000019</v>
      </c>
      <c r="H15" s="51">
        <v>0</v>
      </c>
      <c r="I15" s="62">
        <v>0</v>
      </c>
      <c r="J15" s="105">
        <f t="shared" si="1"/>
        <v>1.4320000000000002</v>
      </c>
      <c r="K15" s="63">
        <v>0.60600000000000009</v>
      </c>
      <c r="L15" s="51">
        <v>4.6759999999999993</v>
      </c>
      <c r="M15" s="51">
        <v>0</v>
      </c>
      <c r="N15" s="51">
        <v>4.4399999999999995</v>
      </c>
      <c r="O15" s="51">
        <v>0</v>
      </c>
      <c r="P15" s="62">
        <v>0</v>
      </c>
      <c r="Q15" s="105">
        <f t="shared" si="2"/>
        <v>9.7219999999999978</v>
      </c>
      <c r="R15" s="92">
        <f t="shared" si="0"/>
        <v>11.153999999999998</v>
      </c>
      <c r="S15" s="84"/>
      <c r="T15" s="47"/>
      <c r="U15" s="19">
        <f t="shared" si="3"/>
        <v>0</v>
      </c>
      <c r="V15" s="19">
        <f t="shared" si="4"/>
        <v>0</v>
      </c>
      <c r="W15" s="19">
        <f t="shared" si="5"/>
        <v>0</v>
      </c>
      <c r="X15" s="19">
        <f t="shared" si="6"/>
        <v>0</v>
      </c>
      <c r="Y15" s="48"/>
    </row>
    <row r="16" spans="1:25" ht="25.5" outlineLevel="1" x14ac:dyDescent="0.25">
      <c r="A16" s="16" t="s">
        <v>32</v>
      </c>
      <c r="B16" s="17" t="s">
        <v>33</v>
      </c>
      <c r="C16" s="18" t="s">
        <v>21</v>
      </c>
      <c r="D16" s="51">
        <v>0</v>
      </c>
      <c r="E16" s="51">
        <v>4.7024999999999997</v>
      </c>
      <c r="F16" s="51">
        <v>0</v>
      </c>
      <c r="G16" s="51">
        <v>8.5890000000000022</v>
      </c>
      <c r="H16" s="51">
        <v>0</v>
      </c>
      <c r="I16" s="62">
        <v>2.5140000000000002</v>
      </c>
      <c r="J16" s="105">
        <f t="shared" si="1"/>
        <v>15.805500000000002</v>
      </c>
      <c r="K16" s="63">
        <v>2.5755000000000003</v>
      </c>
      <c r="L16" s="51">
        <v>11.528999999999998</v>
      </c>
      <c r="M16" s="51">
        <v>0</v>
      </c>
      <c r="N16" s="51">
        <v>8.4075000000000006</v>
      </c>
      <c r="O16" s="51">
        <v>0</v>
      </c>
      <c r="P16" s="62">
        <v>8.202</v>
      </c>
      <c r="Q16" s="105">
        <f t="shared" si="2"/>
        <v>30.713999999999999</v>
      </c>
      <c r="R16" s="92">
        <f t="shared" si="0"/>
        <v>46.519500000000001</v>
      </c>
      <c r="S16" s="84"/>
      <c r="T16" s="47"/>
      <c r="U16" s="19">
        <f t="shared" si="3"/>
        <v>0</v>
      </c>
      <c r="V16" s="19">
        <f t="shared" si="4"/>
        <v>0</v>
      </c>
      <c r="W16" s="19">
        <f t="shared" si="5"/>
        <v>0</v>
      </c>
      <c r="X16" s="19">
        <f t="shared" si="6"/>
        <v>0</v>
      </c>
      <c r="Y16" s="48"/>
    </row>
    <row r="17" spans="1:25" ht="25.5" outlineLevel="1" x14ac:dyDescent="0.25">
      <c r="A17" s="16" t="s">
        <v>34</v>
      </c>
      <c r="B17" s="17" t="s">
        <v>35</v>
      </c>
      <c r="C17" s="18" t="s">
        <v>21</v>
      </c>
      <c r="D17" s="51">
        <v>0</v>
      </c>
      <c r="E17" s="51">
        <v>0</v>
      </c>
      <c r="F17" s="51">
        <v>0</v>
      </c>
      <c r="G17" s="51">
        <v>3.2500000000000001E-2</v>
      </c>
      <c r="H17" s="51">
        <v>0</v>
      </c>
      <c r="I17" s="62">
        <v>0</v>
      </c>
      <c r="J17" s="105">
        <f t="shared" si="1"/>
        <v>3.2500000000000001E-2</v>
      </c>
      <c r="K17" s="63">
        <v>0</v>
      </c>
      <c r="L17" s="51">
        <v>0</v>
      </c>
      <c r="M17" s="51">
        <v>0</v>
      </c>
      <c r="N17" s="51">
        <v>0</v>
      </c>
      <c r="O17" s="51">
        <v>0</v>
      </c>
      <c r="P17" s="62">
        <v>0</v>
      </c>
      <c r="Q17" s="105">
        <f t="shared" si="2"/>
        <v>0</v>
      </c>
      <c r="R17" s="92">
        <f t="shared" si="0"/>
        <v>3.2500000000000001E-2</v>
      </c>
      <c r="S17" s="84"/>
      <c r="T17" s="47"/>
      <c r="U17" s="19">
        <f t="shared" si="3"/>
        <v>0</v>
      </c>
      <c r="V17" s="19">
        <f t="shared" si="4"/>
        <v>0</v>
      </c>
      <c r="W17" s="19">
        <f t="shared" si="5"/>
        <v>0</v>
      </c>
      <c r="X17" s="19">
        <f t="shared" si="6"/>
        <v>0</v>
      </c>
      <c r="Y17" s="48"/>
    </row>
    <row r="18" spans="1:25" ht="25.5" outlineLevel="1" x14ac:dyDescent="0.25">
      <c r="A18" s="16" t="s">
        <v>36</v>
      </c>
      <c r="B18" s="17" t="s">
        <v>37</v>
      </c>
      <c r="C18" s="18" t="s">
        <v>38</v>
      </c>
      <c r="D18" s="51">
        <v>138.28</v>
      </c>
      <c r="E18" s="51">
        <v>45.959999999999994</v>
      </c>
      <c r="F18" s="51">
        <v>67.37</v>
      </c>
      <c r="G18" s="51">
        <v>58.46</v>
      </c>
      <c r="H18" s="51">
        <v>81.45</v>
      </c>
      <c r="I18" s="62">
        <v>69.069999999999993</v>
      </c>
      <c r="J18" s="105">
        <f t="shared" si="1"/>
        <v>460.59</v>
      </c>
      <c r="K18" s="63">
        <v>126.97</v>
      </c>
      <c r="L18" s="51">
        <v>65.63</v>
      </c>
      <c r="M18" s="51">
        <v>75.38</v>
      </c>
      <c r="N18" s="51">
        <v>34.369999999999997</v>
      </c>
      <c r="O18" s="51">
        <v>55.67</v>
      </c>
      <c r="P18" s="62">
        <v>109.71000000000001</v>
      </c>
      <c r="Q18" s="105">
        <f t="shared" si="2"/>
        <v>467.73</v>
      </c>
      <c r="R18" s="92">
        <f t="shared" si="0"/>
        <v>928.31999999999994</v>
      </c>
      <c r="S18" s="84"/>
      <c r="T18" s="47"/>
      <c r="U18" s="19">
        <f t="shared" si="3"/>
        <v>0</v>
      </c>
      <c r="V18" s="19">
        <f t="shared" si="4"/>
        <v>0</v>
      </c>
      <c r="W18" s="19">
        <f t="shared" si="5"/>
        <v>0</v>
      </c>
      <c r="X18" s="19">
        <f t="shared" si="6"/>
        <v>0</v>
      </c>
      <c r="Y18" s="48"/>
    </row>
    <row r="19" spans="1:25" ht="76.5" outlineLevel="1" x14ac:dyDescent="0.25">
      <c r="A19" s="16" t="s">
        <v>39</v>
      </c>
      <c r="B19" s="17" t="s">
        <v>40</v>
      </c>
      <c r="C19" s="18" t="s">
        <v>38</v>
      </c>
      <c r="D19" s="51">
        <v>78.61</v>
      </c>
      <c r="E19" s="51">
        <v>35.619999999999997</v>
      </c>
      <c r="F19" s="51">
        <v>48.55</v>
      </c>
      <c r="G19" s="51">
        <v>43.81</v>
      </c>
      <c r="H19" s="51">
        <v>79.650000000000006</v>
      </c>
      <c r="I19" s="62">
        <v>69.069999999999993</v>
      </c>
      <c r="J19" s="105">
        <f t="shared" si="1"/>
        <v>355.31</v>
      </c>
      <c r="K19" s="63">
        <v>85.92</v>
      </c>
      <c r="L19" s="51">
        <v>56.95</v>
      </c>
      <c r="M19" s="51">
        <v>71.36</v>
      </c>
      <c r="N19" s="51">
        <v>34.369999999999997</v>
      </c>
      <c r="O19" s="51">
        <v>55.67</v>
      </c>
      <c r="P19" s="62">
        <v>18.950000000000003</v>
      </c>
      <c r="Q19" s="105">
        <f t="shared" si="2"/>
        <v>323.22000000000003</v>
      </c>
      <c r="R19" s="92">
        <f t="shared" si="0"/>
        <v>678.53</v>
      </c>
      <c r="S19" s="84"/>
      <c r="T19" s="47"/>
      <c r="U19" s="19">
        <f t="shared" si="3"/>
        <v>0</v>
      </c>
      <c r="V19" s="19">
        <f t="shared" si="4"/>
        <v>0</v>
      </c>
      <c r="W19" s="19">
        <f t="shared" si="5"/>
        <v>0</v>
      </c>
      <c r="X19" s="19">
        <f t="shared" si="6"/>
        <v>0</v>
      </c>
      <c r="Y19" s="48"/>
    </row>
    <row r="20" spans="1:25" ht="76.5" outlineLevel="1" x14ac:dyDescent="0.25">
      <c r="A20" s="16" t="s">
        <v>41</v>
      </c>
      <c r="B20" s="17" t="s">
        <v>42</v>
      </c>
      <c r="C20" s="18" t="s">
        <v>38</v>
      </c>
      <c r="D20" s="51">
        <v>59.67</v>
      </c>
      <c r="E20" s="51">
        <v>0</v>
      </c>
      <c r="F20" s="51">
        <v>12.23</v>
      </c>
      <c r="G20" s="51">
        <v>2.9</v>
      </c>
      <c r="H20" s="51">
        <v>0</v>
      </c>
      <c r="I20" s="62">
        <v>0</v>
      </c>
      <c r="J20" s="105">
        <f t="shared" si="1"/>
        <v>74.800000000000011</v>
      </c>
      <c r="K20" s="63">
        <v>5.86</v>
      </c>
      <c r="L20" s="51">
        <v>0</v>
      </c>
      <c r="M20" s="51">
        <v>4.0199999999999996</v>
      </c>
      <c r="N20" s="51">
        <v>0</v>
      </c>
      <c r="O20" s="51">
        <v>0</v>
      </c>
      <c r="P20" s="62">
        <v>4.49</v>
      </c>
      <c r="Q20" s="105">
        <f t="shared" si="2"/>
        <v>14.37</v>
      </c>
      <c r="R20" s="92">
        <f t="shared" si="0"/>
        <v>89.170000000000016</v>
      </c>
      <c r="S20" s="84"/>
      <c r="T20" s="47"/>
      <c r="U20" s="19">
        <f t="shared" si="3"/>
        <v>0</v>
      </c>
      <c r="V20" s="19">
        <f t="shared" si="4"/>
        <v>0</v>
      </c>
      <c r="W20" s="19">
        <f t="shared" si="5"/>
        <v>0</v>
      </c>
      <c r="X20" s="19">
        <f t="shared" si="6"/>
        <v>0</v>
      </c>
      <c r="Y20" s="48"/>
    </row>
    <row r="21" spans="1:25" ht="76.5" outlineLevel="1" x14ac:dyDescent="0.25">
      <c r="A21" s="16" t="s">
        <v>43</v>
      </c>
      <c r="B21" s="17" t="s">
        <v>44</v>
      </c>
      <c r="C21" s="18" t="s">
        <v>38</v>
      </c>
      <c r="D21" s="51">
        <v>0</v>
      </c>
      <c r="E21" s="51">
        <v>1.39</v>
      </c>
      <c r="F21" s="51">
        <v>3.69</v>
      </c>
      <c r="G21" s="51">
        <v>0</v>
      </c>
      <c r="H21" s="51">
        <v>1.8</v>
      </c>
      <c r="I21" s="62">
        <v>0</v>
      </c>
      <c r="J21" s="105">
        <f t="shared" si="1"/>
        <v>6.88</v>
      </c>
      <c r="K21" s="63">
        <v>24.669999999999998</v>
      </c>
      <c r="L21" s="51">
        <v>0</v>
      </c>
      <c r="M21" s="51">
        <v>0</v>
      </c>
      <c r="N21" s="51">
        <v>0</v>
      </c>
      <c r="O21" s="51">
        <v>0</v>
      </c>
      <c r="P21" s="62">
        <v>0</v>
      </c>
      <c r="Q21" s="105">
        <f t="shared" si="2"/>
        <v>24.669999999999998</v>
      </c>
      <c r="R21" s="92">
        <f t="shared" si="0"/>
        <v>31.549999999999997</v>
      </c>
      <c r="S21" s="84"/>
      <c r="T21" s="47"/>
      <c r="U21" s="19">
        <f t="shared" si="3"/>
        <v>0</v>
      </c>
      <c r="V21" s="19">
        <f t="shared" si="4"/>
        <v>0</v>
      </c>
      <c r="W21" s="19">
        <f t="shared" si="5"/>
        <v>0</v>
      </c>
      <c r="X21" s="19">
        <f t="shared" si="6"/>
        <v>0</v>
      </c>
      <c r="Y21" s="48"/>
    </row>
    <row r="22" spans="1:25" ht="76.5" outlineLevel="1" x14ac:dyDescent="0.25">
      <c r="A22" s="16" t="s">
        <v>45</v>
      </c>
      <c r="B22" s="17" t="s">
        <v>46</v>
      </c>
      <c r="C22" s="18" t="s">
        <v>38</v>
      </c>
      <c r="D22" s="51">
        <v>0</v>
      </c>
      <c r="E22" s="51">
        <v>8.9499999999999993</v>
      </c>
      <c r="F22" s="51">
        <v>0</v>
      </c>
      <c r="G22" s="51">
        <v>0</v>
      </c>
      <c r="H22" s="51">
        <v>0</v>
      </c>
      <c r="I22" s="62">
        <v>0</v>
      </c>
      <c r="J22" s="105">
        <f t="shared" si="1"/>
        <v>8.9499999999999993</v>
      </c>
      <c r="K22" s="63">
        <v>0</v>
      </c>
      <c r="L22" s="51">
        <v>0</v>
      </c>
      <c r="M22" s="51">
        <v>0</v>
      </c>
      <c r="N22" s="51">
        <v>0</v>
      </c>
      <c r="O22" s="51">
        <v>0</v>
      </c>
      <c r="P22" s="62">
        <v>0</v>
      </c>
      <c r="Q22" s="105">
        <f t="shared" si="2"/>
        <v>0</v>
      </c>
      <c r="R22" s="92">
        <f t="shared" si="0"/>
        <v>8.9499999999999993</v>
      </c>
      <c r="S22" s="84"/>
      <c r="T22" s="47"/>
      <c r="U22" s="19">
        <f t="shared" si="3"/>
        <v>0</v>
      </c>
      <c r="V22" s="19">
        <f t="shared" si="4"/>
        <v>0</v>
      </c>
      <c r="W22" s="19">
        <f t="shared" si="5"/>
        <v>0</v>
      </c>
      <c r="X22" s="19">
        <f t="shared" si="6"/>
        <v>0</v>
      </c>
      <c r="Y22" s="48"/>
    </row>
    <row r="23" spans="1:25" ht="76.5" outlineLevel="1" x14ac:dyDescent="0.25">
      <c r="A23" s="16" t="s">
        <v>47</v>
      </c>
      <c r="B23" s="17" t="s">
        <v>48</v>
      </c>
      <c r="C23" s="18" t="s">
        <v>38</v>
      </c>
      <c r="D23" s="51">
        <v>0</v>
      </c>
      <c r="E23" s="51">
        <v>0</v>
      </c>
      <c r="F23" s="51">
        <v>2.9</v>
      </c>
      <c r="G23" s="51">
        <v>0</v>
      </c>
      <c r="H23" s="51">
        <v>0</v>
      </c>
      <c r="I23" s="62">
        <v>0</v>
      </c>
      <c r="J23" s="105">
        <f t="shared" si="1"/>
        <v>2.9</v>
      </c>
      <c r="K23" s="63">
        <v>0</v>
      </c>
      <c r="L23" s="51">
        <v>0</v>
      </c>
      <c r="M23" s="51">
        <v>0</v>
      </c>
      <c r="N23" s="51">
        <v>0</v>
      </c>
      <c r="O23" s="51">
        <v>0</v>
      </c>
      <c r="P23" s="62">
        <v>0</v>
      </c>
      <c r="Q23" s="105">
        <f t="shared" si="2"/>
        <v>0</v>
      </c>
      <c r="R23" s="92">
        <f t="shared" si="0"/>
        <v>2.9</v>
      </c>
      <c r="S23" s="84"/>
      <c r="T23" s="47"/>
      <c r="U23" s="19">
        <f t="shared" si="3"/>
        <v>0</v>
      </c>
      <c r="V23" s="19">
        <f t="shared" si="4"/>
        <v>0</v>
      </c>
      <c r="W23" s="19">
        <f t="shared" si="5"/>
        <v>0</v>
      </c>
      <c r="X23" s="19">
        <f t="shared" si="6"/>
        <v>0</v>
      </c>
      <c r="Y23" s="48"/>
    </row>
    <row r="24" spans="1:25" ht="76.5" outlineLevel="1" x14ac:dyDescent="0.25">
      <c r="A24" s="16" t="s">
        <v>49</v>
      </c>
      <c r="B24" s="17" t="s">
        <v>50</v>
      </c>
      <c r="C24" s="18" t="s">
        <v>38</v>
      </c>
      <c r="D24" s="51">
        <v>0</v>
      </c>
      <c r="E24" s="51">
        <v>0</v>
      </c>
      <c r="F24" s="51">
        <v>0</v>
      </c>
      <c r="G24" s="51">
        <v>9.76</v>
      </c>
      <c r="H24" s="51">
        <v>0</v>
      </c>
      <c r="I24" s="62">
        <v>0</v>
      </c>
      <c r="J24" s="105">
        <f t="shared" si="1"/>
        <v>9.76</v>
      </c>
      <c r="K24" s="63">
        <v>0</v>
      </c>
      <c r="L24" s="51">
        <v>0</v>
      </c>
      <c r="M24" s="51">
        <v>0</v>
      </c>
      <c r="N24" s="51">
        <v>0</v>
      </c>
      <c r="O24" s="51">
        <v>0</v>
      </c>
      <c r="P24" s="62">
        <v>74.61</v>
      </c>
      <c r="Q24" s="105">
        <f t="shared" si="2"/>
        <v>74.61</v>
      </c>
      <c r="R24" s="92">
        <f t="shared" si="0"/>
        <v>84.37</v>
      </c>
      <c r="S24" s="84"/>
      <c r="T24" s="47"/>
      <c r="U24" s="19">
        <f t="shared" si="3"/>
        <v>0</v>
      </c>
      <c r="V24" s="19">
        <f t="shared" si="4"/>
        <v>0</v>
      </c>
      <c r="W24" s="19">
        <f t="shared" si="5"/>
        <v>0</v>
      </c>
      <c r="X24" s="19">
        <f t="shared" si="6"/>
        <v>0</v>
      </c>
      <c r="Y24" s="48"/>
    </row>
    <row r="25" spans="1:25" ht="76.5" outlineLevel="1" x14ac:dyDescent="0.25">
      <c r="A25" s="16" t="s">
        <v>51</v>
      </c>
      <c r="B25" s="17" t="s">
        <v>52</v>
      </c>
      <c r="C25" s="18" t="s">
        <v>38</v>
      </c>
      <c r="D25" s="51">
        <v>0</v>
      </c>
      <c r="E25" s="51">
        <v>0</v>
      </c>
      <c r="F25" s="51">
        <v>0</v>
      </c>
      <c r="G25" s="51">
        <v>1.99</v>
      </c>
      <c r="H25" s="51">
        <v>0</v>
      </c>
      <c r="I25" s="62">
        <v>0</v>
      </c>
      <c r="J25" s="105">
        <f t="shared" si="1"/>
        <v>1.99</v>
      </c>
      <c r="K25" s="63">
        <v>7.68</v>
      </c>
      <c r="L25" s="51">
        <v>0</v>
      </c>
      <c r="M25" s="51">
        <v>0</v>
      </c>
      <c r="N25" s="51">
        <v>0</v>
      </c>
      <c r="O25" s="51">
        <v>0</v>
      </c>
      <c r="P25" s="62">
        <v>4.75</v>
      </c>
      <c r="Q25" s="105">
        <f t="shared" si="2"/>
        <v>12.43</v>
      </c>
      <c r="R25" s="92">
        <f t="shared" si="0"/>
        <v>14.42</v>
      </c>
      <c r="S25" s="84"/>
      <c r="T25" s="47"/>
      <c r="U25" s="19">
        <f t="shared" si="3"/>
        <v>0</v>
      </c>
      <c r="V25" s="19">
        <f t="shared" si="4"/>
        <v>0</v>
      </c>
      <c r="W25" s="19">
        <f t="shared" si="5"/>
        <v>0</v>
      </c>
      <c r="X25" s="19">
        <f t="shared" si="6"/>
        <v>0</v>
      </c>
      <c r="Y25" s="48"/>
    </row>
    <row r="26" spans="1:25" ht="76.5" outlineLevel="1" x14ac:dyDescent="0.25">
      <c r="A26" s="16" t="s">
        <v>53</v>
      </c>
      <c r="B26" s="17" t="s">
        <v>54</v>
      </c>
      <c r="C26" s="18" t="s">
        <v>38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62">
        <v>0</v>
      </c>
      <c r="J26" s="105">
        <f t="shared" si="1"/>
        <v>0</v>
      </c>
      <c r="K26" s="63">
        <v>2.84</v>
      </c>
      <c r="L26" s="51">
        <v>8.68</v>
      </c>
      <c r="M26" s="51">
        <v>0</v>
      </c>
      <c r="N26" s="51">
        <v>0</v>
      </c>
      <c r="O26" s="51">
        <v>0</v>
      </c>
      <c r="P26" s="62">
        <v>0</v>
      </c>
      <c r="Q26" s="105">
        <f t="shared" si="2"/>
        <v>11.52</v>
      </c>
      <c r="R26" s="92">
        <f t="shared" si="0"/>
        <v>11.52</v>
      </c>
      <c r="S26" s="84"/>
      <c r="T26" s="47"/>
      <c r="U26" s="19">
        <f t="shared" si="3"/>
        <v>0</v>
      </c>
      <c r="V26" s="19">
        <f t="shared" si="4"/>
        <v>0</v>
      </c>
      <c r="W26" s="19">
        <f t="shared" si="5"/>
        <v>0</v>
      </c>
      <c r="X26" s="19">
        <f t="shared" si="6"/>
        <v>0</v>
      </c>
      <c r="Y26" s="48"/>
    </row>
    <row r="27" spans="1:25" ht="77.25" outlineLevel="1" thickBot="1" x14ac:dyDescent="0.3">
      <c r="A27" s="16" t="s">
        <v>55</v>
      </c>
      <c r="B27" s="17" t="s">
        <v>56</v>
      </c>
      <c r="C27" s="18" t="s">
        <v>38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62">
        <v>0</v>
      </c>
      <c r="J27" s="106">
        <f t="shared" si="1"/>
        <v>0</v>
      </c>
      <c r="K27" s="63">
        <v>0</v>
      </c>
      <c r="L27" s="51">
        <v>0</v>
      </c>
      <c r="M27" s="51">
        <v>0</v>
      </c>
      <c r="N27" s="51">
        <v>0</v>
      </c>
      <c r="O27" s="51">
        <v>0</v>
      </c>
      <c r="P27" s="62">
        <v>6.91</v>
      </c>
      <c r="Q27" s="106">
        <f t="shared" si="2"/>
        <v>6.91</v>
      </c>
      <c r="R27" s="93">
        <f t="shared" si="0"/>
        <v>6.91</v>
      </c>
      <c r="S27" s="84"/>
      <c r="T27" s="47"/>
      <c r="U27" s="19">
        <f t="shared" si="3"/>
        <v>0</v>
      </c>
      <c r="V27" s="19">
        <f t="shared" si="4"/>
        <v>0</v>
      </c>
      <c r="W27" s="19">
        <f t="shared" si="5"/>
        <v>0</v>
      </c>
      <c r="X27" s="19">
        <f t="shared" si="6"/>
        <v>0</v>
      </c>
      <c r="Y27" s="48"/>
    </row>
    <row r="28" spans="1:25" ht="101.25" customHeight="1" thickBot="1" x14ac:dyDescent="0.3">
      <c r="A28" s="9" t="s">
        <v>57</v>
      </c>
      <c r="B28" s="10" t="s">
        <v>58</v>
      </c>
      <c r="C28" s="11"/>
      <c r="D28" s="12"/>
      <c r="E28" s="12"/>
      <c r="F28" s="12"/>
      <c r="G28" s="12"/>
      <c r="H28" s="12"/>
      <c r="I28" s="12"/>
      <c r="J28" s="101"/>
      <c r="K28" s="12"/>
      <c r="L28" s="12"/>
      <c r="M28" s="12"/>
      <c r="N28" s="12"/>
      <c r="O28" s="12"/>
      <c r="P28" s="12"/>
      <c r="Q28" s="101"/>
      <c r="R28" s="87"/>
      <c r="S28" s="15"/>
      <c r="T28" s="15"/>
      <c r="U28" s="15"/>
      <c r="V28" s="14">
        <f>SUM(V29:V43)</f>
        <v>0</v>
      </c>
      <c r="W28" s="14">
        <f>SUM(W29:W43)</f>
        <v>0</v>
      </c>
      <c r="X28" s="14">
        <f>SUM(X29:X43)</f>
        <v>0</v>
      </c>
      <c r="Y28" s="49"/>
    </row>
    <row r="29" spans="1:25" ht="27" customHeight="1" outlineLevel="1" x14ac:dyDescent="0.25">
      <c r="A29" s="16" t="s">
        <v>59</v>
      </c>
      <c r="B29" s="17" t="s">
        <v>60</v>
      </c>
      <c r="C29" s="18" t="s">
        <v>38</v>
      </c>
      <c r="D29" s="51">
        <v>3601.11</v>
      </c>
      <c r="E29" s="51">
        <v>2383.3599999999997</v>
      </c>
      <c r="F29" s="51">
        <v>3569.42</v>
      </c>
      <c r="G29" s="51">
        <v>2492.61</v>
      </c>
      <c r="H29" s="51">
        <v>2295.0099999999993</v>
      </c>
      <c r="I29" s="62">
        <v>1695.0100000000004</v>
      </c>
      <c r="J29" s="107">
        <f t="shared" ref="J29:J44" si="7">SUM(D29:I29)</f>
        <v>16036.519999999999</v>
      </c>
      <c r="K29" s="63">
        <v>2322.41</v>
      </c>
      <c r="L29" s="51">
        <v>1779.7000000000003</v>
      </c>
      <c r="M29" s="51">
        <v>1130.81</v>
      </c>
      <c r="N29" s="51">
        <v>1629.83</v>
      </c>
      <c r="O29" s="51">
        <v>1084.0100000000002</v>
      </c>
      <c r="P29" s="62">
        <v>4013.2399999999993</v>
      </c>
      <c r="Q29" s="107">
        <f t="shared" ref="Q29:Q44" si="8">SUM(K29:P29)</f>
        <v>11960</v>
      </c>
      <c r="R29" s="94">
        <f t="shared" ref="R29:R44" si="9">J29+Q29</f>
        <v>27996.519999999997</v>
      </c>
      <c r="S29" s="84"/>
      <c r="T29" s="47"/>
      <c r="U29" s="19">
        <f t="shared" ref="U29:U43" si="10">T29+S29</f>
        <v>0</v>
      </c>
      <c r="V29" s="19">
        <f t="shared" ref="V29:V43" si="11">R29*S29</f>
        <v>0</v>
      </c>
      <c r="W29" s="19">
        <f t="shared" ref="W29:W43" si="12">T29*R29</f>
        <v>0</v>
      </c>
      <c r="X29" s="19">
        <f t="shared" ref="X29:X43" si="13">W29+V29</f>
        <v>0</v>
      </c>
      <c r="Y29" s="50"/>
    </row>
    <row r="30" spans="1:25" ht="38.25" outlineLevel="1" x14ac:dyDescent="0.25">
      <c r="A30" s="16" t="s">
        <v>61</v>
      </c>
      <c r="B30" s="17" t="s">
        <v>62</v>
      </c>
      <c r="C30" s="18" t="s">
        <v>21</v>
      </c>
      <c r="D30" s="51">
        <v>8.7200000000000006</v>
      </c>
      <c r="E30" s="51">
        <v>3.46</v>
      </c>
      <c r="F30" s="51">
        <v>5.12</v>
      </c>
      <c r="G30" s="51">
        <v>5.75</v>
      </c>
      <c r="H30" s="51">
        <v>1.67</v>
      </c>
      <c r="I30" s="62">
        <v>0.21</v>
      </c>
      <c r="J30" s="105">
        <f t="shared" si="7"/>
        <v>24.93</v>
      </c>
      <c r="K30" s="63">
        <v>1.43</v>
      </c>
      <c r="L30" s="51">
        <v>1.48</v>
      </c>
      <c r="M30" s="51">
        <v>1.48</v>
      </c>
      <c r="N30" s="51">
        <v>0.11</v>
      </c>
      <c r="O30" s="51">
        <v>0.11</v>
      </c>
      <c r="P30" s="62">
        <v>2.0699999999999998</v>
      </c>
      <c r="Q30" s="105">
        <f t="shared" si="8"/>
        <v>6.6800000000000015</v>
      </c>
      <c r="R30" s="92">
        <f t="shared" si="9"/>
        <v>31.61</v>
      </c>
      <c r="S30" s="84"/>
      <c r="T30" s="47"/>
      <c r="U30" s="19">
        <f t="shared" si="10"/>
        <v>0</v>
      </c>
      <c r="V30" s="19">
        <f t="shared" si="11"/>
        <v>0</v>
      </c>
      <c r="W30" s="19">
        <f t="shared" si="12"/>
        <v>0</v>
      </c>
      <c r="X30" s="19">
        <f t="shared" si="13"/>
        <v>0</v>
      </c>
      <c r="Y30" s="50"/>
    </row>
    <row r="31" spans="1:25" ht="51" outlineLevel="1" x14ac:dyDescent="0.25">
      <c r="A31" s="16" t="s">
        <v>63</v>
      </c>
      <c r="B31" s="17" t="s">
        <v>64</v>
      </c>
      <c r="C31" s="18" t="s">
        <v>21</v>
      </c>
      <c r="D31" s="51">
        <v>7.93</v>
      </c>
      <c r="E31" s="51">
        <v>1.1599999999999999</v>
      </c>
      <c r="F31" s="51">
        <v>0</v>
      </c>
      <c r="G31" s="51">
        <v>11.14</v>
      </c>
      <c r="H31" s="51">
        <v>6.27</v>
      </c>
      <c r="I31" s="62">
        <v>8.48</v>
      </c>
      <c r="J31" s="105">
        <f t="shared" si="7"/>
        <v>34.980000000000004</v>
      </c>
      <c r="K31" s="63">
        <v>5.83</v>
      </c>
      <c r="L31" s="51">
        <v>1.48</v>
      </c>
      <c r="M31" s="51">
        <v>1.4</v>
      </c>
      <c r="N31" s="51">
        <v>3.4</v>
      </c>
      <c r="O31" s="51">
        <v>3.9299999999999997</v>
      </c>
      <c r="P31" s="62">
        <v>12.6</v>
      </c>
      <c r="Q31" s="105">
        <f t="shared" si="8"/>
        <v>28.64</v>
      </c>
      <c r="R31" s="92">
        <f t="shared" si="9"/>
        <v>63.620000000000005</v>
      </c>
      <c r="S31" s="84"/>
      <c r="T31" s="47"/>
      <c r="U31" s="19">
        <f t="shared" si="10"/>
        <v>0</v>
      </c>
      <c r="V31" s="19">
        <f t="shared" si="11"/>
        <v>0</v>
      </c>
      <c r="W31" s="19">
        <f t="shared" si="12"/>
        <v>0</v>
      </c>
      <c r="X31" s="19">
        <f t="shared" si="13"/>
        <v>0</v>
      </c>
      <c r="Y31" s="50"/>
    </row>
    <row r="32" spans="1:25" ht="51" outlineLevel="1" x14ac:dyDescent="0.25">
      <c r="A32" s="16" t="s">
        <v>65</v>
      </c>
      <c r="B32" s="17" t="s">
        <v>66</v>
      </c>
      <c r="C32" s="18" t="s">
        <v>21</v>
      </c>
      <c r="D32" s="51">
        <v>461.9</v>
      </c>
      <c r="E32" s="51">
        <v>302.12</v>
      </c>
      <c r="F32" s="51">
        <v>461.95</v>
      </c>
      <c r="G32" s="51">
        <v>380.56</v>
      </c>
      <c r="H32" s="51">
        <v>278.56</v>
      </c>
      <c r="I32" s="62">
        <v>196.04</v>
      </c>
      <c r="J32" s="105">
        <f t="shared" si="7"/>
        <v>2081.13</v>
      </c>
      <c r="K32" s="63">
        <v>301.98</v>
      </c>
      <c r="L32" s="51">
        <v>231.23</v>
      </c>
      <c r="M32" s="51">
        <v>197.38</v>
      </c>
      <c r="N32" s="51">
        <v>188.81</v>
      </c>
      <c r="O32" s="51">
        <v>117.95</v>
      </c>
      <c r="P32" s="62">
        <v>516.70000000000005</v>
      </c>
      <c r="Q32" s="105">
        <f t="shared" si="8"/>
        <v>1554.0500000000002</v>
      </c>
      <c r="R32" s="92">
        <f t="shared" si="9"/>
        <v>3635.1800000000003</v>
      </c>
      <c r="S32" s="84"/>
      <c r="T32" s="47"/>
      <c r="U32" s="19">
        <f t="shared" si="10"/>
        <v>0</v>
      </c>
      <c r="V32" s="19">
        <f t="shared" si="11"/>
        <v>0</v>
      </c>
      <c r="W32" s="19">
        <f t="shared" si="12"/>
        <v>0</v>
      </c>
      <c r="X32" s="19">
        <f t="shared" si="13"/>
        <v>0</v>
      </c>
      <c r="Y32" s="50"/>
    </row>
    <row r="33" spans="1:25" ht="51" outlineLevel="1" x14ac:dyDescent="0.25">
      <c r="A33" s="16" t="s">
        <v>67</v>
      </c>
      <c r="B33" s="17" t="s">
        <v>68</v>
      </c>
      <c r="C33" s="18" t="s">
        <v>21</v>
      </c>
      <c r="D33" s="51">
        <v>0</v>
      </c>
      <c r="E33" s="51">
        <v>0</v>
      </c>
      <c r="F33" s="51">
        <v>0</v>
      </c>
      <c r="G33" s="51">
        <v>0</v>
      </c>
      <c r="H33" s="51">
        <v>0.34</v>
      </c>
      <c r="I33" s="62">
        <v>7.89</v>
      </c>
      <c r="J33" s="105">
        <f t="shared" si="7"/>
        <v>8.23</v>
      </c>
      <c r="K33" s="63">
        <v>0.34</v>
      </c>
      <c r="L33" s="51">
        <v>0</v>
      </c>
      <c r="M33" s="51">
        <v>0</v>
      </c>
      <c r="N33" s="51">
        <v>0</v>
      </c>
      <c r="O33" s="51">
        <v>0</v>
      </c>
      <c r="P33" s="62">
        <v>2</v>
      </c>
      <c r="Q33" s="105">
        <f t="shared" si="8"/>
        <v>2.34</v>
      </c>
      <c r="R33" s="92">
        <f t="shared" si="9"/>
        <v>10.57</v>
      </c>
      <c r="S33" s="84"/>
      <c r="T33" s="47"/>
      <c r="U33" s="19">
        <f t="shared" si="10"/>
        <v>0</v>
      </c>
      <c r="V33" s="19">
        <f t="shared" si="11"/>
        <v>0</v>
      </c>
      <c r="W33" s="19">
        <f t="shared" si="12"/>
        <v>0</v>
      </c>
      <c r="X33" s="19">
        <f t="shared" si="13"/>
        <v>0</v>
      </c>
      <c r="Y33" s="50"/>
    </row>
    <row r="34" spans="1:25" ht="51" outlineLevel="1" x14ac:dyDescent="0.25">
      <c r="A34" s="16" t="s">
        <v>69</v>
      </c>
      <c r="B34" s="17" t="s">
        <v>70</v>
      </c>
      <c r="C34" s="18" t="s">
        <v>21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62">
        <v>0.55000000000000004</v>
      </c>
      <c r="J34" s="105">
        <f t="shared" si="7"/>
        <v>0.55000000000000004</v>
      </c>
      <c r="K34" s="63">
        <v>0</v>
      </c>
      <c r="L34" s="51">
        <v>0</v>
      </c>
      <c r="M34" s="51">
        <v>0</v>
      </c>
      <c r="N34" s="51">
        <v>0</v>
      </c>
      <c r="O34" s="51">
        <v>0</v>
      </c>
      <c r="P34" s="62">
        <v>0</v>
      </c>
      <c r="Q34" s="105">
        <f t="shared" si="8"/>
        <v>0</v>
      </c>
      <c r="R34" s="92">
        <f t="shared" si="9"/>
        <v>0.55000000000000004</v>
      </c>
      <c r="S34" s="84"/>
      <c r="T34" s="47"/>
      <c r="U34" s="19">
        <f t="shared" si="10"/>
        <v>0</v>
      </c>
      <c r="V34" s="19">
        <f t="shared" si="11"/>
        <v>0</v>
      </c>
      <c r="W34" s="19">
        <f t="shared" si="12"/>
        <v>0</v>
      </c>
      <c r="X34" s="19">
        <f t="shared" si="13"/>
        <v>0</v>
      </c>
      <c r="Y34" s="50"/>
    </row>
    <row r="35" spans="1:25" ht="51" outlineLevel="1" x14ac:dyDescent="0.25">
      <c r="A35" s="16" t="s">
        <v>71</v>
      </c>
      <c r="B35" s="17" t="s">
        <v>72</v>
      </c>
      <c r="C35" s="18" t="s">
        <v>21</v>
      </c>
      <c r="D35" s="51">
        <v>0</v>
      </c>
      <c r="E35" s="51">
        <v>0</v>
      </c>
      <c r="F35" s="51">
        <v>0</v>
      </c>
      <c r="G35" s="51">
        <v>0</v>
      </c>
      <c r="H35" s="51">
        <v>0.4</v>
      </c>
      <c r="I35" s="62">
        <v>0</v>
      </c>
      <c r="J35" s="105">
        <f t="shared" si="7"/>
        <v>0.4</v>
      </c>
      <c r="K35" s="63">
        <v>0.4</v>
      </c>
      <c r="L35" s="51">
        <v>0</v>
      </c>
      <c r="M35" s="51">
        <v>0</v>
      </c>
      <c r="N35" s="51">
        <v>0</v>
      </c>
      <c r="O35" s="51">
        <v>0</v>
      </c>
      <c r="P35" s="62">
        <v>0</v>
      </c>
      <c r="Q35" s="105">
        <f t="shared" si="8"/>
        <v>0.4</v>
      </c>
      <c r="R35" s="92">
        <f t="shared" si="9"/>
        <v>0.8</v>
      </c>
      <c r="S35" s="84"/>
      <c r="T35" s="47"/>
      <c r="U35" s="19">
        <f t="shared" si="10"/>
        <v>0</v>
      </c>
      <c r="V35" s="19">
        <f t="shared" si="11"/>
        <v>0</v>
      </c>
      <c r="W35" s="19">
        <f t="shared" si="12"/>
        <v>0</v>
      </c>
      <c r="X35" s="19">
        <f t="shared" si="13"/>
        <v>0</v>
      </c>
      <c r="Y35" s="50"/>
    </row>
    <row r="36" spans="1:25" ht="51" outlineLevel="1" x14ac:dyDescent="0.25">
      <c r="A36" s="16" t="s">
        <v>73</v>
      </c>
      <c r="B36" s="17" t="s">
        <v>74</v>
      </c>
      <c r="C36" s="18" t="s">
        <v>21</v>
      </c>
      <c r="D36" s="51">
        <v>0</v>
      </c>
      <c r="E36" s="51">
        <v>0.64</v>
      </c>
      <c r="F36" s="51">
        <v>0</v>
      </c>
      <c r="G36" s="51">
        <v>0</v>
      </c>
      <c r="H36" s="51">
        <v>0</v>
      </c>
      <c r="I36" s="62">
        <v>0</v>
      </c>
      <c r="J36" s="105">
        <f t="shared" si="7"/>
        <v>0.64</v>
      </c>
      <c r="K36" s="63">
        <v>0</v>
      </c>
      <c r="L36" s="51">
        <v>0</v>
      </c>
      <c r="M36" s="51">
        <v>0</v>
      </c>
      <c r="N36" s="51">
        <v>0</v>
      </c>
      <c r="O36" s="51">
        <v>0</v>
      </c>
      <c r="P36" s="62">
        <v>0</v>
      </c>
      <c r="Q36" s="105">
        <f t="shared" si="8"/>
        <v>0</v>
      </c>
      <c r="R36" s="92">
        <f t="shared" si="9"/>
        <v>0.64</v>
      </c>
      <c r="S36" s="84"/>
      <c r="T36" s="47"/>
      <c r="U36" s="19">
        <f t="shared" si="10"/>
        <v>0</v>
      </c>
      <c r="V36" s="19">
        <f t="shared" si="11"/>
        <v>0</v>
      </c>
      <c r="W36" s="19">
        <f t="shared" si="12"/>
        <v>0</v>
      </c>
      <c r="X36" s="19">
        <f t="shared" si="13"/>
        <v>0</v>
      </c>
      <c r="Y36" s="50"/>
    </row>
    <row r="37" spans="1:25" ht="51" outlineLevel="1" x14ac:dyDescent="0.25">
      <c r="A37" s="16" t="s">
        <v>75</v>
      </c>
      <c r="B37" s="17" t="s">
        <v>76</v>
      </c>
      <c r="C37" s="18" t="s">
        <v>21</v>
      </c>
      <c r="D37" s="51">
        <v>0.94</v>
      </c>
      <c r="E37" s="51">
        <v>0</v>
      </c>
      <c r="F37" s="51">
        <v>0</v>
      </c>
      <c r="G37" s="51">
        <v>0</v>
      </c>
      <c r="H37" s="51">
        <v>0</v>
      </c>
      <c r="I37" s="62">
        <v>0</v>
      </c>
      <c r="J37" s="105">
        <f t="shared" si="7"/>
        <v>0.94</v>
      </c>
      <c r="K37" s="63">
        <v>0.57999999999999996</v>
      </c>
      <c r="L37" s="51">
        <v>0</v>
      </c>
      <c r="M37" s="51">
        <v>0</v>
      </c>
      <c r="N37" s="51">
        <v>0</v>
      </c>
      <c r="O37" s="51">
        <v>0</v>
      </c>
      <c r="P37" s="62">
        <v>0</v>
      </c>
      <c r="Q37" s="105">
        <f t="shared" si="8"/>
        <v>0.57999999999999996</v>
      </c>
      <c r="R37" s="92">
        <f t="shared" si="9"/>
        <v>1.52</v>
      </c>
      <c r="S37" s="84"/>
      <c r="T37" s="47"/>
      <c r="U37" s="19">
        <f t="shared" si="10"/>
        <v>0</v>
      </c>
      <c r="V37" s="19">
        <f t="shared" si="11"/>
        <v>0</v>
      </c>
      <c r="W37" s="19">
        <f t="shared" si="12"/>
        <v>0</v>
      </c>
      <c r="X37" s="19">
        <f t="shared" si="13"/>
        <v>0</v>
      </c>
      <c r="Y37" s="50"/>
    </row>
    <row r="38" spans="1:25" ht="51" outlineLevel="1" x14ac:dyDescent="0.25">
      <c r="A38" s="16" t="s">
        <v>77</v>
      </c>
      <c r="B38" s="17" t="s">
        <v>78</v>
      </c>
      <c r="C38" s="18" t="s">
        <v>21</v>
      </c>
      <c r="D38" s="51">
        <v>0</v>
      </c>
      <c r="E38" s="51">
        <v>2.13</v>
      </c>
      <c r="F38" s="51">
        <v>0</v>
      </c>
      <c r="G38" s="51">
        <v>0</v>
      </c>
      <c r="H38" s="51">
        <v>0</v>
      </c>
      <c r="I38" s="62">
        <v>1.33</v>
      </c>
      <c r="J38" s="105">
        <f t="shared" si="7"/>
        <v>3.46</v>
      </c>
      <c r="K38" s="63">
        <v>9.9</v>
      </c>
      <c r="L38" s="51">
        <v>0</v>
      </c>
      <c r="M38" s="51">
        <v>0</v>
      </c>
      <c r="N38" s="51">
        <v>0</v>
      </c>
      <c r="O38" s="51">
        <v>5.85</v>
      </c>
      <c r="P38" s="62">
        <v>0</v>
      </c>
      <c r="Q38" s="105">
        <f t="shared" si="8"/>
        <v>15.75</v>
      </c>
      <c r="R38" s="92">
        <f t="shared" si="9"/>
        <v>19.21</v>
      </c>
      <c r="S38" s="84"/>
      <c r="T38" s="47"/>
      <c r="U38" s="19">
        <f t="shared" si="10"/>
        <v>0</v>
      </c>
      <c r="V38" s="19">
        <f t="shared" si="11"/>
        <v>0</v>
      </c>
      <c r="W38" s="19">
        <f t="shared" si="12"/>
        <v>0</v>
      </c>
      <c r="X38" s="19">
        <f t="shared" si="13"/>
        <v>0</v>
      </c>
      <c r="Y38" s="50"/>
    </row>
    <row r="39" spans="1:25" ht="51" outlineLevel="1" x14ac:dyDescent="0.25">
      <c r="A39" s="16" t="s">
        <v>79</v>
      </c>
      <c r="B39" s="17" t="s">
        <v>80</v>
      </c>
      <c r="C39" s="18" t="s">
        <v>21</v>
      </c>
      <c r="D39" s="51">
        <v>12.36</v>
      </c>
      <c r="E39" s="51">
        <v>0</v>
      </c>
      <c r="F39" s="51">
        <v>0</v>
      </c>
      <c r="G39" s="51">
        <v>0</v>
      </c>
      <c r="H39" s="51">
        <v>6.9</v>
      </c>
      <c r="I39" s="62">
        <v>0</v>
      </c>
      <c r="J39" s="105">
        <f t="shared" si="7"/>
        <v>19.259999999999998</v>
      </c>
      <c r="K39" s="63">
        <v>0</v>
      </c>
      <c r="L39" s="51">
        <v>0</v>
      </c>
      <c r="M39" s="51">
        <v>0</v>
      </c>
      <c r="N39" s="51">
        <v>0</v>
      </c>
      <c r="O39" s="51">
        <v>0</v>
      </c>
      <c r="P39" s="62">
        <v>44.11</v>
      </c>
      <c r="Q39" s="105">
        <f t="shared" si="8"/>
        <v>44.11</v>
      </c>
      <c r="R39" s="92">
        <f t="shared" si="9"/>
        <v>63.37</v>
      </c>
      <c r="S39" s="84"/>
      <c r="T39" s="47"/>
      <c r="U39" s="19">
        <f t="shared" si="10"/>
        <v>0</v>
      </c>
      <c r="V39" s="19">
        <f t="shared" si="11"/>
        <v>0</v>
      </c>
      <c r="W39" s="19">
        <f t="shared" si="12"/>
        <v>0</v>
      </c>
      <c r="X39" s="19">
        <f t="shared" si="13"/>
        <v>0</v>
      </c>
      <c r="Y39" s="50"/>
    </row>
    <row r="40" spans="1:25" ht="25.5" outlineLevel="1" x14ac:dyDescent="0.25">
      <c r="A40" s="16" t="s">
        <v>81</v>
      </c>
      <c r="B40" s="17" t="s">
        <v>82</v>
      </c>
      <c r="C40" s="18" t="s">
        <v>38</v>
      </c>
      <c r="D40" s="51">
        <v>78.066666666666663</v>
      </c>
      <c r="E40" s="51">
        <v>14.2</v>
      </c>
      <c r="F40" s="51">
        <v>0</v>
      </c>
      <c r="G40" s="51">
        <v>0</v>
      </c>
      <c r="H40" s="51">
        <v>38.333333333333336</v>
      </c>
      <c r="I40" s="62">
        <v>8.8666666666666671</v>
      </c>
      <c r="J40" s="105">
        <f t="shared" si="7"/>
        <v>139.46666666666667</v>
      </c>
      <c r="K40" s="63">
        <v>71.8</v>
      </c>
      <c r="L40" s="51">
        <v>0</v>
      </c>
      <c r="M40" s="51">
        <v>0</v>
      </c>
      <c r="N40" s="51">
        <v>0</v>
      </c>
      <c r="O40" s="51">
        <v>39</v>
      </c>
      <c r="P40" s="62">
        <v>245.05555555555557</v>
      </c>
      <c r="Q40" s="105">
        <f t="shared" si="8"/>
        <v>355.85555555555555</v>
      </c>
      <c r="R40" s="92">
        <f t="shared" si="9"/>
        <v>495.32222222222219</v>
      </c>
      <c r="S40" s="84"/>
      <c r="T40" s="47"/>
      <c r="U40" s="19">
        <f t="shared" si="10"/>
        <v>0</v>
      </c>
      <c r="V40" s="19">
        <f t="shared" si="11"/>
        <v>0</v>
      </c>
      <c r="W40" s="19">
        <f t="shared" si="12"/>
        <v>0</v>
      </c>
      <c r="X40" s="19">
        <f t="shared" si="13"/>
        <v>0</v>
      </c>
      <c r="Y40" s="50"/>
    </row>
    <row r="41" spans="1:25" outlineLevel="1" x14ac:dyDescent="0.25">
      <c r="A41" s="16" t="s">
        <v>83</v>
      </c>
      <c r="B41" s="17" t="s">
        <v>84</v>
      </c>
      <c r="C41" s="18" t="s">
        <v>38</v>
      </c>
      <c r="D41" s="51">
        <v>162.82</v>
      </c>
      <c r="E41" s="51">
        <v>104.99000000000001</v>
      </c>
      <c r="F41" s="51">
        <v>182.22000000000003</v>
      </c>
      <c r="G41" s="51">
        <v>5.95</v>
      </c>
      <c r="H41" s="51">
        <v>211.84</v>
      </c>
      <c r="I41" s="62">
        <v>177.93</v>
      </c>
      <c r="J41" s="105">
        <f t="shared" si="7"/>
        <v>845.75</v>
      </c>
      <c r="K41" s="63">
        <v>208.5</v>
      </c>
      <c r="L41" s="51">
        <v>155.45999999999998</v>
      </c>
      <c r="M41" s="51">
        <v>227</v>
      </c>
      <c r="N41" s="51">
        <v>177.73</v>
      </c>
      <c r="O41" s="51">
        <v>113.84</v>
      </c>
      <c r="P41" s="62">
        <v>346.38</v>
      </c>
      <c r="Q41" s="105">
        <f t="shared" si="8"/>
        <v>1228.9100000000001</v>
      </c>
      <c r="R41" s="92">
        <f t="shared" si="9"/>
        <v>2074.66</v>
      </c>
      <c r="S41" s="84"/>
      <c r="T41" s="47"/>
      <c r="U41" s="19">
        <f t="shared" si="10"/>
        <v>0</v>
      </c>
      <c r="V41" s="19">
        <f t="shared" si="11"/>
        <v>0</v>
      </c>
      <c r="W41" s="19">
        <f t="shared" si="12"/>
        <v>0</v>
      </c>
      <c r="X41" s="19">
        <f t="shared" si="13"/>
        <v>0</v>
      </c>
      <c r="Y41" s="50"/>
    </row>
    <row r="42" spans="1:25" ht="63.75" outlineLevel="1" x14ac:dyDescent="0.25">
      <c r="A42" s="16" t="s">
        <v>85</v>
      </c>
      <c r="B42" s="17" t="s">
        <v>86</v>
      </c>
      <c r="C42" s="18" t="s">
        <v>38</v>
      </c>
      <c r="D42" s="51">
        <v>3601.11</v>
      </c>
      <c r="E42" s="51">
        <v>2383.3599999999997</v>
      </c>
      <c r="F42" s="51">
        <v>3569.42</v>
      </c>
      <c r="G42" s="51">
        <v>2492.61</v>
      </c>
      <c r="H42" s="51">
        <v>2295.0099999999993</v>
      </c>
      <c r="I42" s="62">
        <v>1695.0100000000004</v>
      </c>
      <c r="J42" s="105">
        <f t="shared" si="7"/>
        <v>16036.519999999999</v>
      </c>
      <c r="K42" s="63">
        <v>2322.41</v>
      </c>
      <c r="L42" s="51">
        <v>1779.7000000000003</v>
      </c>
      <c r="M42" s="51">
        <v>1130.81</v>
      </c>
      <c r="N42" s="51">
        <v>1629.83</v>
      </c>
      <c r="O42" s="51">
        <v>1084.0100000000002</v>
      </c>
      <c r="P42" s="62">
        <v>4013.2399999999993</v>
      </c>
      <c r="Q42" s="105">
        <f t="shared" si="8"/>
        <v>11960</v>
      </c>
      <c r="R42" s="92">
        <f t="shared" si="9"/>
        <v>27996.519999999997</v>
      </c>
      <c r="S42" s="84"/>
      <c r="T42" s="47"/>
      <c r="U42" s="19">
        <f t="shared" si="10"/>
        <v>0</v>
      </c>
      <c r="V42" s="19">
        <f t="shared" si="11"/>
        <v>0</v>
      </c>
      <c r="W42" s="19">
        <f t="shared" si="12"/>
        <v>0</v>
      </c>
      <c r="X42" s="19">
        <f t="shared" si="13"/>
        <v>0</v>
      </c>
      <c r="Y42" s="50"/>
    </row>
    <row r="43" spans="1:25" ht="41.25" customHeight="1" outlineLevel="1" x14ac:dyDescent="0.25">
      <c r="A43" s="16" t="s">
        <v>87</v>
      </c>
      <c r="B43" s="20" t="s">
        <v>88</v>
      </c>
      <c r="C43" s="21" t="s">
        <v>38</v>
      </c>
      <c r="D43" s="51">
        <v>3601.11</v>
      </c>
      <c r="E43" s="51">
        <v>2383.3599999999997</v>
      </c>
      <c r="F43" s="51">
        <v>3569.42</v>
      </c>
      <c r="G43" s="51">
        <v>2492.61</v>
      </c>
      <c r="H43" s="51">
        <v>2295.0099999999993</v>
      </c>
      <c r="I43" s="62">
        <v>1695.0100000000004</v>
      </c>
      <c r="J43" s="105">
        <f t="shared" si="7"/>
        <v>16036.519999999999</v>
      </c>
      <c r="K43" s="63">
        <v>2322.41</v>
      </c>
      <c r="L43" s="51">
        <v>1779.7000000000003</v>
      </c>
      <c r="M43" s="51">
        <v>1130.81</v>
      </c>
      <c r="N43" s="51">
        <v>1629.83</v>
      </c>
      <c r="O43" s="51">
        <v>1084.0100000000002</v>
      </c>
      <c r="P43" s="62">
        <v>4013.2399999999993</v>
      </c>
      <c r="Q43" s="105">
        <f t="shared" si="8"/>
        <v>11960</v>
      </c>
      <c r="R43" s="92">
        <f t="shared" si="9"/>
        <v>27996.519999999997</v>
      </c>
      <c r="S43" s="84"/>
      <c r="T43" s="47"/>
      <c r="U43" s="19">
        <f t="shared" si="10"/>
        <v>0</v>
      </c>
      <c r="V43" s="19">
        <f t="shared" si="11"/>
        <v>0</v>
      </c>
      <c r="W43" s="19">
        <f t="shared" si="12"/>
        <v>0</v>
      </c>
      <c r="X43" s="19">
        <f t="shared" si="13"/>
        <v>0</v>
      </c>
      <c r="Y43" s="50"/>
    </row>
    <row r="44" spans="1:25" ht="41.25" customHeight="1" outlineLevel="1" thickBot="1" x14ac:dyDescent="0.3">
      <c r="A44" s="16" t="s">
        <v>457</v>
      </c>
      <c r="B44" s="20" t="s">
        <v>458</v>
      </c>
      <c r="C44" s="21" t="s">
        <v>38</v>
      </c>
      <c r="D44" s="51">
        <f>D43</f>
        <v>3601.11</v>
      </c>
      <c r="E44" s="51">
        <f t="shared" ref="E44:P44" si="14">E43</f>
        <v>2383.3599999999997</v>
      </c>
      <c r="F44" s="51">
        <f t="shared" si="14"/>
        <v>3569.42</v>
      </c>
      <c r="G44" s="51">
        <f t="shared" si="14"/>
        <v>2492.61</v>
      </c>
      <c r="H44" s="51">
        <f t="shared" si="14"/>
        <v>2295.0099999999993</v>
      </c>
      <c r="I44" s="62">
        <f t="shared" si="14"/>
        <v>1695.0100000000004</v>
      </c>
      <c r="J44" s="106">
        <f t="shared" si="7"/>
        <v>16036.519999999999</v>
      </c>
      <c r="K44" s="63">
        <f t="shared" si="14"/>
        <v>2322.41</v>
      </c>
      <c r="L44" s="51">
        <f t="shared" si="14"/>
        <v>1779.7000000000003</v>
      </c>
      <c r="M44" s="51">
        <f t="shared" si="14"/>
        <v>1130.81</v>
      </c>
      <c r="N44" s="51">
        <f t="shared" si="14"/>
        <v>1629.83</v>
      </c>
      <c r="O44" s="51">
        <f t="shared" si="14"/>
        <v>1084.0100000000002</v>
      </c>
      <c r="P44" s="62">
        <f t="shared" si="14"/>
        <v>4013.2399999999993</v>
      </c>
      <c r="Q44" s="106">
        <f t="shared" si="8"/>
        <v>11960</v>
      </c>
      <c r="R44" s="93">
        <f t="shared" si="9"/>
        <v>27996.519999999997</v>
      </c>
      <c r="S44" s="84"/>
      <c r="T44" s="47"/>
      <c r="U44" s="19">
        <f>T44+S44</f>
        <v>0</v>
      </c>
      <c r="V44" s="19">
        <f>R44*S44</f>
        <v>0</v>
      </c>
      <c r="W44" s="19">
        <f>T44*R44</f>
        <v>0</v>
      </c>
      <c r="X44" s="19">
        <f>W44+V44</f>
        <v>0</v>
      </c>
      <c r="Y44" s="50"/>
    </row>
    <row r="45" spans="1:25" ht="71.25" customHeight="1" thickBot="1" x14ac:dyDescent="0.3">
      <c r="A45" s="9" t="s">
        <v>89</v>
      </c>
      <c r="B45" s="10" t="s">
        <v>407</v>
      </c>
      <c r="C45" s="11"/>
      <c r="D45" s="12"/>
      <c r="E45" s="12"/>
      <c r="F45" s="12"/>
      <c r="G45" s="12"/>
      <c r="H45" s="12"/>
      <c r="I45" s="12"/>
      <c r="J45" s="101"/>
      <c r="K45" s="12"/>
      <c r="L45" s="12"/>
      <c r="M45" s="12"/>
      <c r="N45" s="12"/>
      <c r="O45" s="12"/>
      <c r="P45" s="12"/>
      <c r="Q45" s="101"/>
      <c r="R45" s="87"/>
      <c r="S45" s="15"/>
      <c r="T45" s="15"/>
      <c r="U45" s="15"/>
      <c r="V45" s="14">
        <f>SUM(V46:V48)</f>
        <v>0</v>
      </c>
      <c r="W45" s="14">
        <f>SUM(W46:W48)</f>
        <v>0</v>
      </c>
      <c r="X45" s="14">
        <f>SUM(X46:X48)</f>
        <v>0</v>
      </c>
      <c r="Y45" s="49"/>
    </row>
    <row r="46" spans="1:25" ht="33" customHeight="1" outlineLevel="2" x14ac:dyDescent="0.25">
      <c r="A46" s="16" t="s">
        <v>90</v>
      </c>
      <c r="B46" s="17" t="s">
        <v>91</v>
      </c>
      <c r="C46" s="18" t="s">
        <v>38</v>
      </c>
      <c r="D46" s="51">
        <v>687.97</v>
      </c>
      <c r="E46" s="51">
        <v>269.09000000000003</v>
      </c>
      <c r="F46" s="51">
        <v>331.77</v>
      </c>
      <c r="G46" s="51">
        <v>586.94000000000005</v>
      </c>
      <c r="H46" s="51">
        <v>547.42999999999995</v>
      </c>
      <c r="I46" s="62">
        <v>364.75</v>
      </c>
      <c r="J46" s="107">
        <f>SUM(D46:I46)</f>
        <v>2787.95</v>
      </c>
      <c r="K46" s="63">
        <v>1268.6799999999998</v>
      </c>
      <c r="L46" s="51">
        <v>525.63</v>
      </c>
      <c r="M46" s="51">
        <v>940.75</v>
      </c>
      <c r="N46" s="51">
        <v>467.46999999999997</v>
      </c>
      <c r="O46" s="51">
        <v>609.52</v>
      </c>
      <c r="P46" s="62">
        <v>183.42</v>
      </c>
      <c r="Q46" s="107">
        <f>SUM(K46:P46)</f>
        <v>3995.47</v>
      </c>
      <c r="R46" s="94">
        <f>J46+Q46</f>
        <v>6783.42</v>
      </c>
      <c r="S46" s="84"/>
      <c r="T46" s="47"/>
      <c r="U46" s="19">
        <f>T46+S46</f>
        <v>0</v>
      </c>
      <c r="V46" s="19">
        <f>R46*S46</f>
        <v>0</v>
      </c>
      <c r="W46" s="19">
        <f>T46*R46</f>
        <v>0</v>
      </c>
      <c r="X46" s="19">
        <f>W46+V46</f>
        <v>0</v>
      </c>
      <c r="Y46" s="50"/>
    </row>
    <row r="47" spans="1:25" ht="56.25" customHeight="1" outlineLevel="2" x14ac:dyDescent="0.25">
      <c r="A47" s="16" t="s">
        <v>92</v>
      </c>
      <c r="B47" s="17" t="s">
        <v>93</v>
      </c>
      <c r="C47" s="18" t="s">
        <v>21</v>
      </c>
      <c r="D47" s="51">
        <v>83.48</v>
      </c>
      <c r="E47" s="51">
        <v>21.13</v>
      </c>
      <c r="F47" s="51">
        <v>27.31</v>
      </c>
      <c r="G47" s="51">
        <v>77.569999999999993</v>
      </c>
      <c r="H47" s="51">
        <v>70.19</v>
      </c>
      <c r="I47" s="62">
        <v>45.22</v>
      </c>
      <c r="J47" s="105">
        <f>SUM(D47:I47)</f>
        <v>324.89999999999998</v>
      </c>
      <c r="K47" s="63">
        <v>163.44</v>
      </c>
      <c r="L47" s="51">
        <v>62.06</v>
      </c>
      <c r="M47" s="51">
        <v>122.32</v>
      </c>
      <c r="N47" s="51">
        <v>56.6</v>
      </c>
      <c r="O47" s="51">
        <v>75.59</v>
      </c>
      <c r="P47" s="62">
        <v>11.5</v>
      </c>
      <c r="Q47" s="105">
        <f>SUM(K47:P47)</f>
        <v>491.51</v>
      </c>
      <c r="R47" s="92">
        <f>J47+Q47</f>
        <v>816.41</v>
      </c>
      <c r="S47" s="84"/>
      <c r="T47" s="47"/>
      <c r="U47" s="19">
        <f>T47+S47</f>
        <v>0</v>
      </c>
      <c r="V47" s="19">
        <f>R47*S47</f>
        <v>0</v>
      </c>
      <c r="W47" s="19">
        <f>T47*R47</f>
        <v>0</v>
      </c>
      <c r="X47" s="19">
        <f>W47+V47</f>
        <v>0</v>
      </c>
      <c r="Y47" s="50"/>
    </row>
    <row r="48" spans="1:25" ht="47.25" customHeight="1" outlineLevel="2" thickBot="1" x14ac:dyDescent="0.3">
      <c r="A48" s="16" t="s">
        <v>94</v>
      </c>
      <c r="B48" s="17" t="s">
        <v>95</v>
      </c>
      <c r="C48" s="18" t="s">
        <v>38</v>
      </c>
      <c r="D48" s="51">
        <v>687.97</v>
      </c>
      <c r="E48" s="51">
        <v>269.09000000000003</v>
      </c>
      <c r="F48" s="51">
        <v>331.77</v>
      </c>
      <c r="G48" s="51">
        <v>586.94000000000005</v>
      </c>
      <c r="H48" s="51">
        <v>547.42999999999995</v>
      </c>
      <c r="I48" s="62">
        <v>364.75</v>
      </c>
      <c r="J48" s="106">
        <f>SUM(D48:I48)</f>
        <v>2787.95</v>
      </c>
      <c r="K48" s="63">
        <v>1268.6799999999998</v>
      </c>
      <c r="L48" s="51">
        <v>525.63</v>
      </c>
      <c r="M48" s="51">
        <v>940.75</v>
      </c>
      <c r="N48" s="51">
        <v>467.46999999999997</v>
      </c>
      <c r="O48" s="51">
        <v>609.52</v>
      </c>
      <c r="P48" s="62">
        <v>183.42</v>
      </c>
      <c r="Q48" s="106">
        <f>SUM(K48:P48)</f>
        <v>3995.47</v>
      </c>
      <c r="R48" s="93">
        <f>J48+Q48</f>
        <v>6783.42</v>
      </c>
      <c r="S48" s="84"/>
      <c r="T48" s="47"/>
      <c r="U48" s="19">
        <f>T48+S48</f>
        <v>0</v>
      </c>
      <c r="V48" s="19">
        <f>R48*S48</f>
        <v>0</v>
      </c>
      <c r="W48" s="19">
        <f>T48*R48</f>
        <v>0</v>
      </c>
      <c r="X48" s="19">
        <f>W48+V48</f>
        <v>0</v>
      </c>
      <c r="Y48" s="50"/>
    </row>
    <row r="49" spans="1:25" ht="33.75" customHeight="1" thickBot="1" x14ac:dyDescent="0.3">
      <c r="A49" s="9" t="s">
        <v>96</v>
      </c>
      <c r="B49" s="10" t="s">
        <v>97</v>
      </c>
      <c r="C49" s="11"/>
      <c r="D49" s="12"/>
      <c r="E49" s="12"/>
      <c r="F49" s="12"/>
      <c r="G49" s="12"/>
      <c r="H49" s="12"/>
      <c r="I49" s="12"/>
      <c r="J49" s="101"/>
      <c r="K49" s="12"/>
      <c r="L49" s="12"/>
      <c r="M49" s="12"/>
      <c r="N49" s="12"/>
      <c r="O49" s="12"/>
      <c r="P49" s="12"/>
      <c r="Q49" s="101"/>
      <c r="R49" s="88"/>
      <c r="S49" s="15"/>
      <c r="T49" s="15"/>
      <c r="U49" s="15"/>
      <c r="V49" s="14">
        <f>SUM(V50:V123)</f>
        <v>0</v>
      </c>
      <c r="W49" s="14">
        <f>SUM(W50:W123)</f>
        <v>0</v>
      </c>
      <c r="X49" s="14">
        <f>SUM(X50:X123)</f>
        <v>0</v>
      </c>
      <c r="Y49" s="49"/>
    </row>
    <row r="50" spans="1:25" ht="38.25" outlineLevel="1" x14ac:dyDescent="0.25">
      <c r="A50" s="60" t="s">
        <v>543</v>
      </c>
      <c r="B50" s="58" t="s">
        <v>479</v>
      </c>
      <c r="C50" s="59" t="s">
        <v>98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62">
        <v>0</v>
      </c>
      <c r="J50" s="107">
        <f t="shared" ref="J50:J113" si="15">SUM(D50:I50)</f>
        <v>0</v>
      </c>
      <c r="K50" s="63">
        <v>0</v>
      </c>
      <c r="L50" s="51">
        <v>0</v>
      </c>
      <c r="M50" s="51">
        <v>347</v>
      </c>
      <c r="N50" s="51">
        <v>0</v>
      </c>
      <c r="O50" s="51">
        <v>0</v>
      </c>
      <c r="P50" s="62">
        <v>0</v>
      </c>
      <c r="Q50" s="107">
        <f t="shared" ref="Q50:Q113" si="16">SUM(K50:P50)</f>
        <v>347</v>
      </c>
      <c r="R50" s="94">
        <f t="shared" ref="R50:R113" si="17">J50+Q50</f>
        <v>347</v>
      </c>
      <c r="S50" s="84"/>
      <c r="T50" s="47"/>
      <c r="U50" s="19">
        <f>T50+S50</f>
        <v>0</v>
      </c>
      <c r="V50" s="19">
        <f>R50*S50</f>
        <v>0</v>
      </c>
      <c r="W50" s="19">
        <f>T50*R50</f>
        <v>0</v>
      </c>
      <c r="X50" s="19">
        <f>W50+V50</f>
        <v>0</v>
      </c>
      <c r="Y50" s="50"/>
    </row>
    <row r="51" spans="1:25" ht="38.25" outlineLevel="1" x14ac:dyDescent="0.25">
      <c r="A51" s="60" t="s">
        <v>544</v>
      </c>
      <c r="B51" s="58" t="s">
        <v>480</v>
      </c>
      <c r="C51" s="59" t="s">
        <v>98</v>
      </c>
      <c r="D51" s="51">
        <v>0</v>
      </c>
      <c r="E51" s="51">
        <v>0</v>
      </c>
      <c r="F51" s="51">
        <v>0</v>
      </c>
      <c r="G51" s="51">
        <v>4</v>
      </c>
      <c r="H51" s="51">
        <v>0</v>
      </c>
      <c r="I51" s="62">
        <v>0</v>
      </c>
      <c r="J51" s="105">
        <f t="shared" si="15"/>
        <v>4</v>
      </c>
      <c r="K51" s="63">
        <v>0</v>
      </c>
      <c r="L51" s="51">
        <v>0</v>
      </c>
      <c r="M51" s="51">
        <v>0</v>
      </c>
      <c r="N51" s="51">
        <v>0</v>
      </c>
      <c r="O51" s="51">
        <v>0</v>
      </c>
      <c r="P51" s="62">
        <v>0</v>
      </c>
      <c r="Q51" s="105">
        <f t="shared" si="16"/>
        <v>0</v>
      </c>
      <c r="R51" s="92">
        <f t="shared" si="17"/>
        <v>4</v>
      </c>
      <c r="S51" s="84"/>
      <c r="T51" s="47"/>
      <c r="U51" s="19">
        <f t="shared" ref="U51:U86" si="18">T51+S51</f>
        <v>0</v>
      </c>
      <c r="V51" s="19">
        <f t="shared" ref="V51:V86" si="19">R51*S51</f>
        <v>0</v>
      </c>
      <c r="W51" s="19">
        <f t="shared" ref="W51:W86" si="20">T51*R51</f>
        <v>0</v>
      </c>
      <c r="X51" s="19">
        <f t="shared" ref="X51:X86" si="21">W51+V51</f>
        <v>0</v>
      </c>
      <c r="Y51" s="50"/>
    </row>
    <row r="52" spans="1:25" ht="38.25" outlineLevel="1" x14ac:dyDescent="0.25">
      <c r="A52" s="60" t="s">
        <v>545</v>
      </c>
      <c r="B52" s="58" t="s">
        <v>481</v>
      </c>
      <c r="C52" s="59" t="s">
        <v>98</v>
      </c>
      <c r="D52" s="51">
        <v>0</v>
      </c>
      <c r="E52" s="51">
        <v>0</v>
      </c>
      <c r="F52" s="51">
        <v>0</v>
      </c>
      <c r="G52" s="51">
        <v>2</v>
      </c>
      <c r="H52" s="51">
        <v>0</v>
      </c>
      <c r="I52" s="62">
        <v>0</v>
      </c>
      <c r="J52" s="105">
        <f t="shared" si="15"/>
        <v>2</v>
      </c>
      <c r="K52" s="63">
        <v>0</v>
      </c>
      <c r="L52" s="51">
        <v>0</v>
      </c>
      <c r="M52" s="51">
        <v>0</v>
      </c>
      <c r="N52" s="51">
        <v>0</v>
      </c>
      <c r="O52" s="51">
        <v>0</v>
      </c>
      <c r="P52" s="62">
        <v>0</v>
      </c>
      <c r="Q52" s="105">
        <f t="shared" si="16"/>
        <v>0</v>
      </c>
      <c r="R52" s="92">
        <f t="shared" si="17"/>
        <v>2</v>
      </c>
      <c r="S52" s="84"/>
      <c r="T52" s="47"/>
      <c r="U52" s="19">
        <f t="shared" si="18"/>
        <v>0</v>
      </c>
      <c r="V52" s="19">
        <f t="shared" si="19"/>
        <v>0</v>
      </c>
      <c r="W52" s="19">
        <f t="shared" si="20"/>
        <v>0</v>
      </c>
      <c r="X52" s="19">
        <f t="shared" si="21"/>
        <v>0</v>
      </c>
      <c r="Y52" s="50"/>
    </row>
    <row r="53" spans="1:25" ht="42.75" customHeight="1" outlineLevel="1" x14ac:dyDescent="0.25">
      <c r="A53" s="60" t="s">
        <v>546</v>
      </c>
      <c r="B53" s="58" t="s">
        <v>482</v>
      </c>
      <c r="C53" s="59" t="s">
        <v>98</v>
      </c>
      <c r="D53" s="51">
        <v>1</v>
      </c>
      <c r="E53" s="51">
        <v>0</v>
      </c>
      <c r="F53" s="51">
        <v>0</v>
      </c>
      <c r="G53" s="51">
        <v>0</v>
      </c>
      <c r="H53" s="51">
        <v>0</v>
      </c>
      <c r="I53" s="62">
        <v>0</v>
      </c>
      <c r="J53" s="105">
        <f t="shared" si="15"/>
        <v>1</v>
      </c>
      <c r="K53" s="63">
        <v>0</v>
      </c>
      <c r="L53" s="51">
        <v>0</v>
      </c>
      <c r="M53" s="51">
        <v>0</v>
      </c>
      <c r="N53" s="51">
        <v>0</v>
      </c>
      <c r="O53" s="51">
        <v>0</v>
      </c>
      <c r="P53" s="62">
        <v>0</v>
      </c>
      <c r="Q53" s="105">
        <f t="shared" si="16"/>
        <v>0</v>
      </c>
      <c r="R53" s="92">
        <f t="shared" si="17"/>
        <v>1</v>
      </c>
      <c r="S53" s="84"/>
      <c r="T53" s="47"/>
      <c r="U53" s="19">
        <f t="shared" si="18"/>
        <v>0</v>
      </c>
      <c r="V53" s="19">
        <f t="shared" si="19"/>
        <v>0</v>
      </c>
      <c r="W53" s="19">
        <f t="shared" si="20"/>
        <v>0</v>
      </c>
      <c r="X53" s="19">
        <f t="shared" si="21"/>
        <v>0</v>
      </c>
      <c r="Y53" s="50"/>
    </row>
    <row r="54" spans="1:25" ht="45" customHeight="1" outlineLevel="1" x14ac:dyDescent="0.25">
      <c r="A54" s="60" t="s">
        <v>547</v>
      </c>
      <c r="B54" s="58" t="s">
        <v>483</v>
      </c>
      <c r="C54" s="59" t="s">
        <v>98</v>
      </c>
      <c r="D54" s="51">
        <v>161</v>
      </c>
      <c r="E54" s="51">
        <v>0</v>
      </c>
      <c r="F54" s="51">
        <v>0</v>
      </c>
      <c r="G54" s="51">
        <v>0</v>
      </c>
      <c r="H54" s="51">
        <v>0</v>
      </c>
      <c r="I54" s="62">
        <v>0</v>
      </c>
      <c r="J54" s="105">
        <f t="shared" si="15"/>
        <v>161</v>
      </c>
      <c r="K54" s="63">
        <v>0</v>
      </c>
      <c r="L54" s="51">
        <v>0</v>
      </c>
      <c r="M54" s="51">
        <v>0</v>
      </c>
      <c r="N54" s="51">
        <v>0</v>
      </c>
      <c r="O54" s="51">
        <v>0</v>
      </c>
      <c r="P54" s="62">
        <v>0</v>
      </c>
      <c r="Q54" s="105">
        <f t="shared" si="16"/>
        <v>0</v>
      </c>
      <c r="R54" s="92">
        <f t="shared" si="17"/>
        <v>161</v>
      </c>
      <c r="S54" s="84"/>
      <c r="T54" s="47"/>
      <c r="U54" s="19">
        <f t="shared" si="18"/>
        <v>0</v>
      </c>
      <c r="V54" s="19">
        <f t="shared" si="19"/>
        <v>0</v>
      </c>
      <c r="W54" s="19">
        <f t="shared" si="20"/>
        <v>0</v>
      </c>
      <c r="X54" s="19">
        <f t="shared" si="21"/>
        <v>0</v>
      </c>
      <c r="Y54" s="50"/>
    </row>
    <row r="55" spans="1:25" ht="38.25" outlineLevel="1" x14ac:dyDescent="0.25">
      <c r="A55" s="60" t="s">
        <v>548</v>
      </c>
      <c r="B55" s="58" t="s">
        <v>484</v>
      </c>
      <c r="C55" s="59" t="s">
        <v>98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62">
        <v>0</v>
      </c>
      <c r="J55" s="105">
        <f t="shared" si="15"/>
        <v>0</v>
      </c>
      <c r="K55" s="63">
        <v>0</v>
      </c>
      <c r="L55" s="51">
        <v>0</v>
      </c>
      <c r="M55" s="51">
        <v>2</v>
      </c>
      <c r="N55" s="51">
        <v>0</v>
      </c>
      <c r="O55" s="51">
        <v>0</v>
      </c>
      <c r="P55" s="62">
        <v>0</v>
      </c>
      <c r="Q55" s="105">
        <f t="shared" si="16"/>
        <v>2</v>
      </c>
      <c r="R55" s="92">
        <f t="shared" si="17"/>
        <v>2</v>
      </c>
      <c r="S55" s="84"/>
      <c r="T55" s="47"/>
      <c r="U55" s="19">
        <f t="shared" si="18"/>
        <v>0</v>
      </c>
      <c r="V55" s="19">
        <f t="shared" si="19"/>
        <v>0</v>
      </c>
      <c r="W55" s="19">
        <f t="shared" si="20"/>
        <v>0</v>
      </c>
      <c r="X55" s="19">
        <f t="shared" si="21"/>
        <v>0</v>
      </c>
      <c r="Y55" s="50"/>
    </row>
    <row r="56" spans="1:25" ht="51" outlineLevel="1" x14ac:dyDescent="0.25">
      <c r="A56" s="60" t="s">
        <v>549</v>
      </c>
      <c r="B56" s="58" t="s">
        <v>642</v>
      </c>
      <c r="C56" s="59" t="s">
        <v>98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62">
        <v>0</v>
      </c>
      <c r="J56" s="105">
        <f t="shared" si="15"/>
        <v>0</v>
      </c>
      <c r="K56" s="63">
        <v>0</v>
      </c>
      <c r="L56" s="51">
        <v>0</v>
      </c>
      <c r="M56" s="51">
        <v>0</v>
      </c>
      <c r="N56" s="51">
        <v>0</v>
      </c>
      <c r="O56" s="51">
        <v>0</v>
      </c>
      <c r="P56" s="62">
        <v>2</v>
      </c>
      <c r="Q56" s="105">
        <f t="shared" si="16"/>
        <v>2</v>
      </c>
      <c r="R56" s="92">
        <f t="shared" si="17"/>
        <v>2</v>
      </c>
      <c r="S56" s="84"/>
      <c r="T56" s="47"/>
      <c r="U56" s="19">
        <f t="shared" si="18"/>
        <v>0</v>
      </c>
      <c r="V56" s="19">
        <f t="shared" si="19"/>
        <v>0</v>
      </c>
      <c r="W56" s="19">
        <f t="shared" si="20"/>
        <v>0</v>
      </c>
      <c r="X56" s="19">
        <f t="shared" si="21"/>
        <v>0</v>
      </c>
      <c r="Y56" s="50"/>
    </row>
    <row r="57" spans="1:25" ht="51" outlineLevel="1" x14ac:dyDescent="0.25">
      <c r="A57" s="60" t="s">
        <v>550</v>
      </c>
      <c r="B57" s="58" t="s">
        <v>641</v>
      </c>
      <c r="C57" s="59" t="s">
        <v>98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62">
        <v>0</v>
      </c>
      <c r="J57" s="105">
        <f t="shared" si="15"/>
        <v>0</v>
      </c>
      <c r="K57" s="63">
        <v>0</v>
      </c>
      <c r="L57" s="51">
        <v>0</v>
      </c>
      <c r="M57" s="51">
        <v>0</v>
      </c>
      <c r="N57" s="51">
        <v>0</v>
      </c>
      <c r="O57" s="51">
        <v>0</v>
      </c>
      <c r="P57" s="62">
        <v>4</v>
      </c>
      <c r="Q57" s="105">
        <f t="shared" si="16"/>
        <v>4</v>
      </c>
      <c r="R57" s="92">
        <f t="shared" si="17"/>
        <v>4</v>
      </c>
      <c r="S57" s="84"/>
      <c r="T57" s="47"/>
      <c r="U57" s="19">
        <f t="shared" si="18"/>
        <v>0</v>
      </c>
      <c r="V57" s="19">
        <f t="shared" si="19"/>
        <v>0</v>
      </c>
      <c r="W57" s="19">
        <f t="shared" si="20"/>
        <v>0</v>
      </c>
      <c r="X57" s="19">
        <f t="shared" si="21"/>
        <v>0</v>
      </c>
      <c r="Y57" s="50"/>
    </row>
    <row r="58" spans="1:25" ht="38.25" outlineLevel="1" x14ac:dyDescent="0.25">
      <c r="A58" s="60" t="s">
        <v>551</v>
      </c>
      <c r="B58" s="58" t="s">
        <v>485</v>
      </c>
      <c r="C58" s="59" t="s">
        <v>98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62">
        <v>0</v>
      </c>
      <c r="J58" s="105">
        <f t="shared" si="15"/>
        <v>0</v>
      </c>
      <c r="K58" s="63">
        <v>0</v>
      </c>
      <c r="L58" s="51">
        <v>0</v>
      </c>
      <c r="M58" s="51">
        <v>2</v>
      </c>
      <c r="N58" s="51">
        <v>0</v>
      </c>
      <c r="O58" s="51">
        <v>0</v>
      </c>
      <c r="P58" s="62">
        <v>0</v>
      </c>
      <c r="Q58" s="105">
        <f t="shared" si="16"/>
        <v>2</v>
      </c>
      <c r="R58" s="92">
        <f t="shared" si="17"/>
        <v>2</v>
      </c>
      <c r="S58" s="84"/>
      <c r="T58" s="47"/>
      <c r="U58" s="19">
        <f t="shared" si="18"/>
        <v>0</v>
      </c>
      <c r="V58" s="19">
        <f t="shared" si="19"/>
        <v>0</v>
      </c>
      <c r="W58" s="19">
        <f t="shared" si="20"/>
        <v>0</v>
      </c>
      <c r="X58" s="19">
        <f t="shared" si="21"/>
        <v>0</v>
      </c>
      <c r="Y58" s="50"/>
    </row>
    <row r="59" spans="1:25" ht="38.25" outlineLevel="1" x14ac:dyDescent="0.25">
      <c r="A59" s="60" t="s">
        <v>552</v>
      </c>
      <c r="B59" s="58" t="s">
        <v>486</v>
      </c>
      <c r="C59" s="59" t="s">
        <v>98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62">
        <v>0</v>
      </c>
      <c r="J59" s="105">
        <f t="shared" si="15"/>
        <v>0</v>
      </c>
      <c r="K59" s="63">
        <v>0</v>
      </c>
      <c r="L59" s="51">
        <v>0</v>
      </c>
      <c r="M59" s="51">
        <v>1</v>
      </c>
      <c r="N59" s="51">
        <v>0</v>
      </c>
      <c r="O59" s="51">
        <v>0</v>
      </c>
      <c r="P59" s="62">
        <v>0</v>
      </c>
      <c r="Q59" s="105">
        <f t="shared" si="16"/>
        <v>1</v>
      </c>
      <c r="R59" s="92">
        <f t="shared" si="17"/>
        <v>1</v>
      </c>
      <c r="S59" s="84"/>
      <c r="T59" s="47"/>
      <c r="U59" s="19">
        <f t="shared" si="18"/>
        <v>0</v>
      </c>
      <c r="V59" s="19">
        <f t="shared" si="19"/>
        <v>0</v>
      </c>
      <c r="W59" s="19">
        <f t="shared" si="20"/>
        <v>0</v>
      </c>
      <c r="X59" s="19">
        <f t="shared" si="21"/>
        <v>0</v>
      </c>
      <c r="Y59" s="50"/>
    </row>
    <row r="60" spans="1:25" ht="51" outlineLevel="1" x14ac:dyDescent="0.25">
      <c r="A60" s="60" t="s">
        <v>553</v>
      </c>
      <c r="B60" s="58" t="s">
        <v>640</v>
      </c>
      <c r="C60" s="59" t="s">
        <v>98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62">
        <v>0</v>
      </c>
      <c r="J60" s="105">
        <f t="shared" si="15"/>
        <v>0</v>
      </c>
      <c r="K60" s="63">
        <v>0</v>
      </c>
      <c r="L60" s="51">
        <v>0</v>
      </c>
      <c r="M60" s="51">
        <v>0</v>
      </c>
      <c r="N60" s="51">
        <v>0</v>
      </c>
      <c r="O60" s="51">
        <v>0</v>
      </c>
      <c r="P60" s="62">
        <v>2</v>
      </c>
      <c r="Q60" s="105">
        <f t="shared" si="16"/>
        <v>2</v>
      </c>
      <c r="R60" s="92">
        <f t="shared" si="17"/>
        <v>2</v>
      </c>
      <c r="S60" s="84"/>
      <c r="T60" s="47"/>
      <c r="U60" s="19">
        <f t="shared" si="18"/>
        <v>0</v>
      </c>
      <c r="V60" s="19">
        <f t="shared" si="19"/>
        <v>0</v>
      </c>
      <c r="W60" s="19">
        <f t="shared" si="20"/>
        <v>0</v>
      </c>
      <c r="X60" s="19">
        <f t="shared" si="21"/>
        <v>0</v>
      </c>
      <c r="Y60" s="50"/>
    </row>
    <row r="61" spans="1:25" ht="38.25" outlineLevel="1" x14ac:dyDescent="0.25">
      <c r="A61" s="60" t="s">
        <v>554</v>
      </c>
      <c r="B61" s="58" t="s">
        <v>639</v>
      </c>
      <c r="C61" s="59" t="s">
        <v>98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62">
        <v>0</v>
      </c>
      <c r="J61" s="105">
        <f t="shared" si="15"/>
        <v>0</v>
      </c>
      <c r="K61" s="63">
        <v>0</v>
      </c>
      <c r="L61" s="51">
        <v>0</v>
      </c>
      <c r="M61" s="51">
        <v>1</v>
      </c>
      <c r="N61" s="51">
        <v>0</v>
      </c>
      <c r="O61" s="51">
        <v>0</v>
      </c>
      <c r="P61" s="62">
        <v>0</v>
      </c>
      <c r="Q61" s="105">
        <f t="shared" si="16"/>
        <v>1</v>
      </c>
      <c r="R61" s="92">
        <f t="shared" si="17"/>
        <v>1</v>
      </c>
      <c r="S61" s="84"/>
      <c r="T61" s="47"/>
      <c r="U61" s="19">
        <f t="shared" si="18"/>
        <v>0</v>
      </c>
      <c r="V61" s="19">
        <f t="shared" si="19"/>
        <v>0</v>
      </c>
      <c r="W61" s="19">
        <f t="shared" si="20"/>
        <v>0</v>
      </c>
      <c r="X61" s="19">
        <f t="shared" si="21"/>
        <v>0</v>
      </c>
      <c r="Y61" s="50"/>
    </row>
    <row r="62" spans="1:25" ht="51" outlineLevel="1" x14ac:dyDescent="0.25">
      <c r="A62" s="60" t="s">
        <v>555</v>
      </c>
      <c r="B62" s="58" t="s">
        <v>638</v>
      </c>
      <c r="C62" s="59" t="s">
        <v>98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62">
        <v>0</v>
      </c>
      <c r="J62" s="105">
        <f t="shared" si="15"/>
        <v>0</v>
      </c>
      <c r="K62" s="63">
        <v>0</v>
      </c>
      <c r="L62" s="51">
        <v>0</v>
      </c>
      <c r="M62" s="51">
        <v>0</v>
      </c>
      <c r="N62" s="51">
        <v>0</v>
      </c>
      <c r="O62" s="51">
        <v>0</v>
      </c>
      <c r="P62" s="62">
        <v>1</v>
      </c>
      <c r="Q62" s="105">
        <f t="shared" si="16"/>
        <v>1</v>
      </c>
      <c r="R62" s="92">
        <f t="shared" si="17"/>
        <v>1</v>
      </c>
      <c r="S62" s="84"/>
      <c r="T62" s="47"/>
      <c r="U62" s="19">
        <f t="shared" si="18"/>
        <v>0</v>
      </c>
      <c r="V62" s="19">
        <f t="shared" si="19"/>
        <v>0</v>
      </c>
      <c r="W62" s="19">
        <f t="shared" si="20"/>
        <v>0</v>
      </c>
      <c r="X62" s="19">
        <f t="shared" si="21"/>
        <v>0</v>
      </c>
      <c r="Y62" s="50"/>
    </row>
    <row r="63" spans="1:25" ht="38.25" outlineLevel="1" x14ac:dyDescent="0.25">
      <c r="A63" s="60" t="s">
        <v>556</v>
      </c>
      <c r="B63" s="58" t="s">
        <v>637</v>
      </c>
      <c r="C63" s="59" t="s">
        <v>98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62">
        <v>0</v>
      </c>
      <c r="J63" s="105">
        <f t="shared" si="15"/>
        <v>0</v>
      </c>
      <c r="K63" s="63">
        <v>0</v>
      </c>
      <c r="L63" s="51">
        <v>0</v>
      </c>
      <c r="M63" s="51">
        <v>0</v>
      </c>
      <c r="N63" s="51">
        <v>0</v>
      </c>
      <c r="O63" s="51">
        <v>0</v>
      </c>
      <c r="P63" s="62">
        <v>76</v>
      </c>
      <c r="Q63" s="105">
        <f t="shared" si="16"/>
        <v>76</v>
      </c>
      <c r="R63" s="92">
        <f t="shared" si="17"/>
        <v>76</v>
      </c>
      <c r="S63" s="84"/>
      <c r="T63" s="47"/>
      <c r="U63" s="19">
        <f t="shared" si="18"/>
        <v>0</v>
      </c>
      <c r="V63" s="19">
        <f t="shared" si="19"/>
        <v>0</v>
      </c>
      <c r="W63" s="19">
        <f t="shared" si="20"/>
        <v>0</v>
      </c>
      <c r="X63" s="19">
        <f t="shared" si="21"/>
        <v>0</v>
      </c>
      <c r="Y63" s="50"/>
    </row>
    <row r="64" spans="1:25" ht="38.25" outlineLevel="1" x14ac:dyDescent="0.25">
      <c r="A64" s="60" t="s">
        <v>557</v>
      </c>
      <c r="B64" s="58" t="s">
        <v>636</v>
      </c>
      <c r="C64" s="59" t="s">
        <v>98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62">
        <v>0</v>
      </c>
      <c r="J64" s="105">
        <f t="shared" si="15"/>
        <v>0</v>
      </c>
      <c r="K64" s="63">
        <v>0</v>
      </c>
      <c r="L64" s="51">
        <v>0</v>
      </c>
      <c r="M64" s="51">
        <v>0</v>
      </c>
      <c r="N64" s="51">
        <v>0</v>
      </c>
      <c r="O64" s="51">
        <v>0</v>
      </c>
      <c r="P64" s="62">
        <v>66</v>
      </c>
      <c r="Q64" s="105">
        <f t="shared" si="16"/>
        <v>66</v>
      </c>
      <c r="R64" s="92">
        <f t="shared" si="17"/>
        <v>66</v>
      </c>
      <c r="S64" s="84"/>
      <c r="T64" s="47"/>
      <c r="U64" s="19">
        <f t="shared" si="18"/>
        <v>0</v>
      </c>
      <c r="V64" s="19">
        <f t="shared" si="19"/>
        <v>0</v>
      </c>
      <c r="W64" s="19">
        <f t="shared" si="20"/>
        <v>0</v>
      </c>
      <c r="X64" s="19">
        <f t="shared" si="21"/>
        <v>0</v>
      </c>
      <c r="Y64" s="50"/>
    </row>
    <row r="65" spans="1:25" ht="51" outlineLevel="1" x14ac:dyDescent="0.25">
      <c r="A65" s="60" t="s">
        <v>558</v>
      </c>
      <c r="B65" s="58" t="s">
        <v>635</v>
      </c>
      <c r="C65" s="59" t="s">
        <v>98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62">
        <v>0</v>
      </c>
      <c r="J65" s="105">
        <f t="shared" si="15"/>
        <v>0</v>
      </c>
      <c r="K65" s="63">
        <v>0</v>
      </c>
      <c r="L65" s="51">
        <v>0</v>
      </c>
      <c r="M65" s="51">
        <v>0</v>
      </c>
      <c r="N65" s="51">
        <v>0</v>
      </c>
      <c r="O65" s="51">
        <v>0</v>
      </c>
      <c r="P65" s="62">
        <v>2</v>
      </c>
      <c r="Q65" s="105">
        <f t="shared" si="16"/>
        <v>2</v>
      </c>
      <c r="R65" s="92">
        <f t="shared" si="17"/>
        <v>2</v>
      </c>
      <c r="S65" s="84"/>
      <c r="T65" s="47"/>
      <c r="U65" s="19">
        <f t="shared" si="18"/>
        <v>0</v>
      </c>
      <c r="V65" s="19">
        <f t="shared" si="19"/>
        <v>0</v>
      </c>
      <c r="W65" s="19">
        <f t="shared" si="20"/>
        <v>0</v>
      </c>
      <c r="X65" s="19">
        <f t="shared" si="21"/>
        <v>0</v>
      </c>
      <c r="Y65" s="50"/>
    </row>
    <row r="66" spans="1:25" ht="38.25" outlineLevel="1" x14ac:dyDescent="0.25">
      <c r="A66" s="60" t="s">
        <v>559</v>
      </c>
      <c r="B66" s="58" t="s">
        <v>634</v>
      </c>
      <c r="C66" s="59" t="s">
        <v>98</v>
      </c>
      <c r="D66" s="51">
        <v>0</v>
      </c>
      <c r="E66" s="51">
        <v>0</v>
      </c>
      <c r="F66" s="51">
        <v>28</v>
      </c>
      <c r="G66" s="51">
        <v>0</v>
      </c>
      <c r="H66" s="51">
        <v>0</v>
      </c>
      <c r="I66" s="62">
        <v>0</v>
      </c>
      <c r="J66" s="105">
        <f t="shared" si="15"/>
        <v>28</v>
      </c>
      <c r="K66" s="63">
        <v>0</v>
      </c>
      <c r="L66" s="51">
        <v>0</v>
      </c>
      <c r="M66" s="51">
        <v>0</v>
      </c>
      <c r="N66" s="51">
        <v>0</v>
      </c>
      <c r="O66" s="51">
        <v>0</v>
      </c>
      <c r="P66" s="62">
        <v>0</v>
      </c>
      <c r="Q66" s="105">
        <f t="shared" si="16"/>
        <v>0</v>
      </c>
      <c r="R66" s="92">
        <f t="shared" si="17"/>
        <v>28</v>
      </c>
      <c r="S66" s="84"/>
      <c r="T66" s="47"/>
      <c r="U66" s="19">
        <f t="shared" si="18"/>
        <v>0</v>
      </c>
      <c r="V66" s="19">
        <f t="shared" si="19"/>
        <v>0</v>
      </c>
      <c r="W66" s="19">
        <f t="shared" si="20"/>
        <v>0</v>
      </c>
      <c r="X66" s="19">
        <f t="shared" si="21"/>
        <v>0</v>
      </c>
      <c r="Y66" s="50"/>
    </row>
    <row r="67" spans="1:25" ht="38.25" outlineLevel="1" x14ac:dyDescent="0.25">
      <c r="A67" s="60" t="s">
        <v>560</v>
      </c>
      <c r="B67" s="58" t="s">
        <v>633</v>
      </c>
      <c r="C67" s="59" t="s">
        <v>98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62">
        <v>0</v>
      </c>
      <c r="J67" s="105">
        <f t="shared" si="15"/>
        <v>0</v>
      </c>
      <c r="K67" s="63">
        <v>0</v>
      </c>
      <c r="L67" s="51">
        <v>0</v>
      </c>
      <c r="M67" s="51">
        <v>0</v>
      </c>
      <c r="N67" s="51">
        <v>0</v>
      </c>
      <c r="O67" s="51">
        <v>3</v>
      </c>
      <c r="P67" s="62">
        <v>0</v>
      </c>
      <c r="Q67" s="105">
        <f t="shared" si="16"/>
        <v>3</v>
      </c>
      <c r="R67" s="92">
        <f t="shared" si="17"/>
        <v>3</v>
      </c>
      <c r="S67" s="84"/>
      <c r="T67" s="47"/>
      <c r="U67" s="19">
        <f t="shared" si="18"/>
        <v>0</v>
      </c>
      <c r="V67" s="19">
        <f t="shared" si="19"/>
        <v>0</v>
      </c>
      <c r="W67" s="19">
        <f t="shared" si="20"/>
        <v>0</v>
      </c>
      <c r="X67" s="19">
        <f t="shared" si="21"/>
        <v>0</v>
      </c>
      <c r="Y67" s="50"/>
    </row>
    <row r="68" spans="1:25" ht="38.25" outlineLevel="1" x14ac:dyDescent="0.25">
      <c r="A68" s="60" t="s">
        <v>561</v>
      </c>
      <c r="B68" s="58" t="s">
        <v>632</v>
      </c>
      <c r="C68" s="59" t="s">
        <v>98</v>
      </c>
      <c r="D68" s="51">
        <v>0</v>
      </c>
      <c r="E68" s="51">
        <v>0</v>
      </c>
      <c r="F68" s="51">
        <v>6</v>
      </c>
      <c r="G68" s="51">
        <v>0</v>
      </c>
      <c r="H68" s="51">
        <v>0</v>
      </c>
      <c r="I68" s="62">
        <v>0</v>
      </c>
      <c r="J68" s="105">
        <f t="shared" si="15"/>
        <v>6</v>
      </c>
      <c r="K68" s="63">
        <v>0</v>
      </c>
      <c r="L68" s="51">
        <v>0</v>
      </c>
      <c r="M68" s="51">
        <v>0</v>
      </c>
      <c r="N68" s="51">
        <v>0</v>
      </c>
      <c r="O68" s="51">
        <v>0</v>
      </c>
      <c r="P68" s="62">
        <v>0</v>
      </c>
      <c r="Q68" s="105">
        <f t="shared" si="16"/>
        <v>0</v>
      </c>
      <c r="R68" s="92">
        <f t="shared" si="17"/>
        <v>6</v>
      </c>
      <c r="S68" s="84"/>
      <c r="T68" s="47"/>
      <c r="U68" s="19">
        <f t="shared" si="18"/>
        <v>0</v>
      </c>
      <c r="V68" s="19">
        <f t="shared" si="19"/>
        <v>0</v>
      </c>
      <c r="W68" s="19">
        <f t="shared" si="20"/>
        <v>0</v>
      </c>
      <c r="X68" s="19">
        <f t="shared" si="21"/>
        <v>0</v>
      </c>
      <c r="Y68" s="50"/>
    </row>
    <row r="69" spans="1:25" ht="38.25" outlineLevel="1" x14ac:dyDescent="0.25">
      <c r="A69" s="60" t="s">
        <v>562</v>
      </c>
      <c r="B69" s="58" t="s">
        <v>631</v>
      </c>
      <c r="C69" s="59" t="s">
        <v>98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62">
        <v>1</v>
      </c>
      <c r="J69" s="105">
        <f t="shared" si="15"/>
        <v>1</v>
      </c>
      <c r="K69" s="63">
        <v>0</v>
      </c>
      <c r="L69" s="51">
        <v>0</v>
      </c>
      <c r="M69" s="51">
        <v>0</v>
      </c>
      <c r="N69" s="51">
        <v>0</v>
      </c>
      <c r="O69" s="51">
        <v>0</v>
      </c>
      <c r="P69" s="62">
        <v>0</v>
      </c>
      <c r="Q69" s="105">
        <f t="shared" si="16"/>
        <v>0</v>
      </c>
      <c r="R69" s="92">
        <f t="shared" si="17"/>
        <v>1</v>
      </c>
      <c r="S69" s="84"/>
      <c r="T69" s="47"/>
      <c r="U69" s="19">
        <f t="shared" si="18"/>
        <v>0</v>
      </c>
      <c r="V69" s="19">
        <f t="shared" si="19"/>
        <v>0</v>
      </c>
      <c r="W69" s="19">
        <f t="shared" si="20"/>
        <v>0</v>
      </c>
      <c r="X69" s="19">
        <f t="shared" si="21"/>
        <v>0</v>
      </c>
      <c r="Y69" s="50"/>
    </row>
    <row r="70" spans="1:25" ht="38.25" outlineLevel="1" x14ac:dyDescent="0.25">
      <c r="A70" s="60" t="s">
        <v>563</v>
      </c>
      <c r="B70" s="58" t="s">
        <v>630</v>
      </c>
      <c r="C70" s="59" t="s">
        <v>98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62">
        <v>0</v>
      </c>
      <c r="J70" s="105">
        <f t="shared" si="15"/>
        <v>0</v>
      </c>
      <c r="K70" s="63">
        <v>2</v>
      </c>
      <c r="L70" s="51">
        <v>0</v>
      </c>
      <c r="M70" s="51">
        <v>0</v>
      </c>
      <c r="N70" s="51">
        <v>0</v>
      </c>
      <c r="O70" s="51">
        <v>0</v>
      </c>
      <c r="P70" s="62">
        <v>0</v>
      </c>
      <c r="Q70" s="105">
        <f t="shared" si="16"/>
        <v>2</v>
      </c>
      <c r="R70" s="92">
        <f t="shared" si="17"/>
        <v>2</v>
      </c>
      <c r="S70" s="84"/>
      <c r="T70" s="47"/>
      <c r="U70" s="19">
        <f t="shared" si="18"/>
        <v>0</v>
      </c>
      <c r="V70" s="19">
        <f t="shared" si="19"/>
        <v>0</v>
      </c>
      <c r="W70" s="19">
        <f t="shared" si="20"/>
        <v>0</v>
      </c>
      <c r="X70" s="19">
        <f t="shared" si="21"/>
        <v>0</v>
      </c>
      <c r="Y70" s="50"/>
    </row>
    <row r="71" spans="1:25" ht="38.25" outlineLevel="1" x14ac:dyDescent="0.25">
      <c r="A71" s="60" t="s">
        <v>564</v>
      </c>
      <c r="B71" s="58" t="s">
        <v>629</v>
      </c>
      <c r="C71" s="59" t="s">
        <v>98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62">
        <v>0</v>
      </c>
      <c r="J71" s="105">
        <f t="shared" si="15"/>
        <v>0</v>
      </c>
      <c r="K71" s="63">
        <v>0</v>
      </c>
      <c r="L71" s="51">
        <v>2</v>
      </c>
      <c r="M71" s="51">
        <v>0</v>
      </c>
      <c r="N71" s="51">
        <v>0</v>
      </c>
      <c r="O71" s="51">
        <v>0</v>
      </c>
      <c r="P71" s="62">
        <v>0</v>
      </c>
      <c r="Q71" s="105">
        <f t="shared" si="16"/>
        <v>2</v>
      </c>
      <c r="R71" s="92">
        <f t="shared" si="17"/>
        <v>2</v>
      </c>
      <c r="S71" s="84"/>
      <c r="T71" s="47"/>
      <c r="U71" s="19">
        <f t="shared" si="18"/>
        <v>0</v>
      </c>
      <c r="V71" s="19">
        <f t="shared" si="19"/>
        <v>0</v>
      </c>
      <c r="W71" s="19">
        <f t="shared" si="20"/>
        <v>0</v>
      </c>
      <c r="X71" s="19">
        <f t="shared" si="21"/>
        <v>0</v>
      </c>
      <c r="Y71" s="50"/>
    </row>
    <row r="72" spans="1:25" ht="38.25" outlineLevel="1" x14ac:dyDescent="0.25">
      <c r="A72" s="60" t="s">
        <v>565</v>
      </c>
      <c r="B72" s="58" t="s">
        <v>628</v>
      </c>
      <c r="C72" s="59" t="s">
        <v>98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62">
        <v>0</v>
      </c>
      <c r="J72" s="105">
        <f t="shared" si="15"/>
        <v>0</v>
      </c>
      <c r="K72" s="63">
        <v>1</v>
      </c>
      <c r="L72" s="51">
        <v>0</v>
      </c>
      <c r="M72" s="51">
        <v>0</v>
      </c>
      <c r="N72" s="51">
        <v>0</v>
      </c>
      <c r="O72" s="51">
        <v>0</v>
      </c>
      <c r="P72" s="62">
        <v>0</v>
      </c>
      <c r="Q72" s="105">
        <f t="shared" si="16"/>
        <v>1</v>
      </c>
      <c r="R72" s="92">
        <f t="shared" si="17"/>
        <v>1</v>
      </c>
      <c r="S72" s="84"/>
      <c r="T72" s="47"/>
      <c r="U72" s="19">
        <f t="shared" si="18"/>
        <v>0</v>
      </c>
      <c r="V72" s="19">
        <f t="shared" si="19"/>
        <v>0</v>
      </c>
      <c r="W72" s="19">
        <f t="shared" si="20"/>
        <v>0</v>
      </c>
      <c r="X72" s="19">
        <f t="shared" si="21"/>
        <v>0</v>
      </c>
      <c r="Y72" s="50"/>
    </row>
    <row r="73" spans="1:25" ht="51" outlineLevel="1" x14ac:dyDescent="0.25">
      <c r="A73" s="60" t="s">
        <v>566</v>
      </c>
      <c r="B73" s="58" t="s">
        <v>627</v>
      </c>
      <c r="C73" s="59" t="s">
        <v>98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62">
        <v>0</v>
      </c>
      <c r="J73" s="105">
        <f t="shared" si="15"/>
        <v>0</v>
      </c>
      <c r="K73" s="63">
        <v>0</v>
      </c>
      <c r="L73" s="51">
        <v>2</v>
      </c>
      <c r="M73" s="51">
        <v>0</v>
      </c>
      <c r="N73" s="51">
        <v>0</v>
      </c>
      <c r="O73" s="51">
        <v>0</v>
      </c>
      <c r="P73" s="62">
        <v>0</v>
      </c>
      <c r="Q73" s="105">
        <f t="shared" si="16"/>
        <v>2</v>
      </c>
      <c r="R73" s="92">
        <f t="shared" si="17"/>
        <v>2</v>
      </c>
      <c r="S73" s="84"/>
      <c r="T73" s="47"/>
      <c r="U73" s="19">
        <f t="shared" si="18"/>
        <v>0</v>
      </c>
      <c r="V73" s="19">
        <f t="shared" si="19"/>
        <v>0</v>
      </c>
      <c r="W73" s="19">
        <f t="shared" si="20"/>
        <v>0</v>
      </c>
      <c r="X73" s="19">
        <f t="shared" si="21"/>
        <v>0</v>
      </c>
      <c r="Y73" s="50"/>
    </row>
    <row r="74" spans="1:25" ht="25.5" outlineLevel="1" x14ac:dyDescent="0.25">
      <c r="A74" s="60" t="s">
        <v>567</v>
      </c>
      <c r="B74" s="58" t="s">
        <v>626</v>
      </c>
      <c r="C74" s="59" t="s">
        <v>98</v>
      </c>
      <c r="D74" s="51">
        <v>0</v>
      </c>
      <c r="E74" s="51">
        <v>0</v>
      </c>
      <c r="F74" s="51">
        <v>0</v>
      </c>
      <c r="G74" s="51">
        <v>2</v>
      </c>
      <c r="H74" s="51">
        <v>0</v>
      </c>
      <c r="I74" s="62">
        <v>0</v>
      </c>
      <c r="J74" s="105">
        <f t="shared" si="15"/>
        <v>2</v>
      </c>
      <c r="K74" s="63">
        <v>0</v>
      </c>
      <c r="L74" s="51">
        <v>0</v>
      </c>
      <c r="M74" s="51">
        <v>0</v>
      </c>
      <c r="N74" s="51">
        <v>0</v>
      </c>
      <c r="O74" s="51">
        <v>0</v>
      </c>
      <c r="P74" s="62">
        <v>0</v>
      </c>
      <c r="Q74" s="105">
        <f t="shared" si="16"/>
        <v>0</v>
      </c>
      <c r="R74" s="92">
        <f t="shared" si="17"/>
        <v>2</v>
      </c>
      <c r="S74" s="84"/>
      <c r="T74" s="47"/>
      <c r="U74" s="19">
        <f t="shared" si="18"/>
        <v>0</v>
      </c>
      <c r="V74" s="19">
        <f t="shared" si="19"/>
        <v>0</v>
      </c>
      <c r="W74" s="19">
        <f t="shared" si="20"/>
        <v>0</v>
      </c>
      <c r="X74" s="19">
        <f t="shared" si="21"/>
        <v>0</v>
      </c>
      <c r="Y74" s="50"/>
    </row>
    <row r="75" spans="1:25" ht="38.25" outlineLevel="1" x14ac:dyDescent="0.25">
      <c r="A75" s="60" t="s">
        <v>568</v>
      </c>
      <c r="B75" s="58" t="s">
        <v>625</v>
      </c>
      <c r="C75" s="59" t="s">
        <v>98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62">
        <v>0</v>
      </c>
      <c r="J75" s="105">
        <f t="shared" si="15"/>
        <v>0</v>
      </c>
      <c r="K75" s="63">
        <v>44</v>
      </c>
      <c r="L75" s="51">
        <v>0</v>
      </c>
      <c r="M75" s="51">
        <v>0</v>
      </c>
      <c r="N75" s="51">
        <v>0</v>
      </c>
      <c r="O75" s="51">
        <v>0</v>
      </c>
      <c r="P75" s="62">
        <v>0</v>
      </c>
      <c r="Q75" s="105">
        <f t="shared" si="16"/>
        <v>44</v>
      </c>
      <c r="R75" s="92">
        <f t="shared" si="17"/>
        <v>44</v>
      </c>
      <c r="S75" s="84"/>
      <c r="T75" s="47"/>
      <c r="U75" s="19">
        <f t="shared" si="18"/>
        <v>0</v>
      </c>
      <c r="V75" s="19">
        <f t="shared" si="19"/>
        <v>0</v>
      </c>
      <c r="W75" s="19">
        <f t="shared" si="20"/>
        <v>0</v>
      </c>
      <c r="X75" s="19">
        <f t="shared" si="21"/>
        <v>0</v>
      </c>
      <c r="Y75" s="50"/>
    </row>
    <row r="76" spans="1:25" ht="38.25" outlineLevel="1" x14ac:dyDescent="0.25">
      <c r="A76" s="60" t="s">
        <v>569</v>
      </c>
      <c r="B76" s="58" t="s">
        <v>622</v>
      </c>
      <c r="C76" s="59" t="s">
        <v>98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62">
        <v>0</v>
      </c>
      <c r="J76" s="105">
        <f t="shared" si="15"/>
        <v>0</v>
      </c>
      <c r="K76" s="63">
        <v>2</v>
      </c>
      <c r="L76" s="51">
        <v>0</v>
      </c>
      <c r="M76" s="51">
        <v>0</v>
      </c>
      <c r="N76" s="51">
        <v>0</v>
      </c>
      <c r="O76" s="51">
        <v>0</v>
      </c>
      <c r="P76" s="62">
        <v>0</v>
      </c>
      <c r="Q76" s="105">
        <f t="shared" si="16"/>
        <v>2</v>
      </c>
      <c r="R76" s="92">
        <f t="shared" si="17"/>
        <v>2</v>
      </c>
      <c r="S76" s="84"/>
      <c r="T76" s="47"/>
      <c r="U76" s="19">
        <f t="shared" si="18"/>
        <v>0</v>
      </c>
      <c r="V76" s="19">
        <f t="shared" si="19"/>
        <v>0</v>
      </c>
      <c r="W76" s="19">
        <f t="shared" si="20"/>
        <v>0</v>
      </c>
      <c r="X76" s="19">
        <f t="shared" si="21"/>
        <v>0</v>
      </c>
      <c r="Y76" s="50"/>
    </row>
    <row r="77" spans="1:25" ht="25.5" outlineLevel="1" x14ac:dyDescent="0.25">
      <c r="A77" s="60" t="s">
        <v>570</v>
      </c>
      <c r="B77" s="58" t="s">
        <v>623</v>
      </c>
      <c r="C77" s="59" t="s">
        <v>102</v>
      </c>
      <c r="D77" s="51">
        <v>21</v>
      </c>
      <c r="E77" s="51">
        <v>48.3</v>
      </c>
      <c r="F77" s="51">
        <v>104.2</v>
      </c>
      <c r="G77" s="51">
        <v>28.4</v>
      </c>
      <c r="H77" s="51">
        <v>0</v>
      </c>
      <c r="I77" s="62">
        <v>0</v>
      </c>
      <c r="J77" s="105">
        <f t="shared" si="15"/>
        <v>201.9</v>
      </c>
      <c r="K77" s="63">
        <v>0</v>
      </c>
      <c r="L77" s="51">
        <v>0</v>
      </c>
      <c r="M77" s="51">
        <v>0</v>
      </c>
      <c r="N77" s="51">
        <v>0</v>
      </c>
      <c r="O77" s="51">
        <v>0</v>
      </c>
      <c r="P77" s="62">
        <v>0</v>
      </c>
      <c r="Q77" s="105">
        <f t="shared" si="16"/>
        <v>0</v>
      </c>
      <c r="R77" s="92">
        <f t="shared" si="17"/>
        <v>201.9</v>
      </c>
      <c r="S77" s="84"/>
      <c r="T77" s="47"/>
      <c r="U77" s="19">
        <f t="shared" si="18"/>
        <v>0</v>
      </c>
      <c r="V77" s="19">
        <f t="shared" si="19"/>
        <v>0</v>
      </c>
      <c r="W77" s="19">
        <f t="shared" si="20"/>
        <v>0</v>
      </c>
      <c r="X77" s="19">
        <f t="shared" si="21"/>
        <v>0</v>
      </c>
      <c r="Y77" s="50"/>
    </row>
    <row r="78" spans="1:25" ht="25.5" outlineLevel="1" x14ac:dyDescent="0.25">
      <c r="A78" s="60" t="s">
        <v>571</v>
      </c>
      <c r="B78" s="58" t="s">
        <v>624</v>
      </c>
      <c r="C78" s="59" t="s">
        <v>102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62">
        <v>0</v>
      </c>
      <c r="J78" s="105">
        <f t="shared" si="15"/>
        <v>0</v>
      </c>
      <c r="K78" s="63">
        <v>67</v>
      </c>
      <c r="L78" s="51">
        <v>0</v>
      </c>
      <c r="M78" s="51">
        <v>0</v>
      </c>
      <c r="N78" s="51">
        <v>0</v>
      </c>
      <c r="O78" s="51">
        <v>0</v>
      </c>
      <c r="P78" s="62">
        <v>0</v>
      </c>
      <c r="Q78" s="105">
        <f t="shared" si="16"/>
        <v>67</v>
      </c>
      <c r="R78" s="92">
        <f t="shared" si="17"/>
        <v>67</v>
      </c>
      <c r="S78" s="84"/>
      <c r="T78" s="47"/>
      <c r="U78" s="19">
        <f t="shared" si="18"/>
        <v>0</v>
      </c>
      <c r="V78" s="19">
        <f t="shared" si="19"/>
        <v>0</v>
      </c>
      <c r="W78" s="19">
        <f t="shared" si="20"/>
        <v>0</v>
      </c>
      <c r="X78" s="19">
        <f t="shared" si="21"/>
        <v>0</v>
      </c>
      <c r="Y78" s="50"/>
    </row>
    <row r="79" spans="1:25" ht="25.5" outlineLevel="1" x14ac:dyDescent="0.25">
      <c r="A79" s="60" t="s">
        <v>572</v>
      </c>
      <c r="B79" s="58" t="s">
        <v>508</v>
      </c>
      <c r="C79" s="59" t="s">
        <v>102</v>
      </c>
      <c r="D79" s="51">
        <v>0</v>
      </c>
      <c r="E79" s="51">
        <v>0</v>
      </c>
      <c r="F79" s="51">
        <v>0</v>
      </c>
      <c r="G79" s="51">
        <v>35.799999999999997</v>
      </c>
      <c r="H79" s="51">
        <v>0</v>
      </c>
      <c r="I79" s="62">
        <v>0</v>
      </c>
      <c r="J79" s="105">
        <f t="shared" si="15"/>
        <v>35.799999999999997</v>
      </c>
      <c r="K79" s="63">
        <v>0</v>
      </c>
      <c r="L79" s="51">
        <v>0</v>
      </c>
      <c r="M79" s="51">
        <v>0</v>
      </c>
      <c r="N79" s="51">
        <v>0</v>
      </c>
      <c r="O79" s="51">
        <v>0</v>
      </c>
      <c r="P79" s="62">
        <v>0</v>
      </c>
      <c r="Q79" s="105">
        <f t="shared" si="16"/>
        <v>0</v>
      </c>
      <c r="R79" s="92">
        <f t="shared" si="17"/>
        <v>35.799999999999997</v>
      </c>
      <c r="S79" s="84"/>
      <c r="T79" s="47"/>
      <c r="U79" s="19">
        <f t="shared" si="18"/>
        <v>0</v>
      </c>
      <c r="V79" s="19">
        <f t="shared" si="19"/>
        <v>0</v>
      </c>
      <c r="W79" s="19">
        <f t="shared" si="20"/>
        <v>0</v>
      </c>
      <c r="X79" s="19">
        <f t="shared" si="21"/>
        <v>0</v>
      </c>
      <c r="Y79" s="50"/>
    </row>
    <row r="80" spans="1:25" ht="25.5" outlineLevel="1" x14ac:dyDescent="0.25">
      <c r="A80" s="60" t="s">
        <v>573</v>
      </c>
      <c r="B80" s="58" t="s">
        <v>509</v>
      </c>
      <c r="C80" s="59" t="s">
        <v>102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62">
        <v>0</v>
      </c>
      <c r="J80" s="105">
        <f t="shared" si="15"/>
        <v>0</v>
      </c>
      <c r="K80" s="63">
        <v>85.7</v>
      </c>
      <c r="L80" s="51">
        <v>0</v>
      </c>
      <c r="M80" s="51">
        <v>0</v>
      </c>
      <c r="N80" s="51">
        <v>0</v>
      </c>
      <c r="O80" s="51">
        <v>0</v>
      </c>
      <c r="P80" s="62">
        <v>0</v>
      </c>
      <c r="Q80" s="105">
        <f t="shared" si="16"/>
        <v>85.7</v>
      </c>
      <c r="R80" s="92">
        <f t="shared" si="17"/>
        <v>85.7</v>
      </c>
      <c r="S80" s="84"/>
      <c r="T80" s="47"/>
      <c r="U80" s="19">
        <f t="shared" si="18"/>
        <v>0</v>
      </c>
      <c r="V80" s="19">
        <f t="shared" si="19"/>
        <v>0</v>
      </c>
      <c r="W80" s="19">
        <f t="shared" si="20"/>
        <v>0</v>
      </c>
      <c r="X80" s="19">
        <f t="shared" si="21"/>
        <v>0</v>
      </c>
      <c r="Y80" s="50"/>
    </row>
    <row r="81" spans="1:25" ht="25.5" outlineLevel="1" x14ac:dyDescent="0.25">
      <c r="A81" s="60" t="s">
        <v>574</v>
      </c>
      <c r="B81" s="58" t="s">
        <v>510</v>
      </c>
      <c r="C81" s="59" t="s">
        <v>102</v>
      </c>
      <c r="D81" s="51">
        <v>0</v>
      </c>
      <c r="E81" s="51">
        <v>0</v>
      </c>
      <c r="F81" s="51">
        <v>0</v>
      </c>
      <c r="G81" s="51">
        <v>26.2</v>
      </c>
      <c r="H81" s="51">
        <v>0</v>
      </c>
      <c r="I81" s="62">
        <v>0</v>
      </c>
      <c r="J81" s="105">
        <f t="shared" si="15"/>
        <v>26.2</v>
      </c>
      <c r="K81" s="63">
        <v>0</v>
      </c>
      <c r="L81" s="51">
        <v>0</v>
      </c>
      <c r="M81" s="51">
        <v>0</v>
      </c>
      <c r="N81" s="51">
        <v>0</v>
      </c>
      <c r="O81" s="51">
        <v>0</v>
      </c>
      <c r="P81" s="62">
        <v>0</v>
      </c>
      <c r="Q81" s="105">
        <f t="shared" si="16"/>
        <v>0</v>
      </c>
      <c r="R81" s="92">
        <f t="shared" si="17"/>
        <v>26.2</v>
      </c>
      <c r="S81" s="84"/>
      <c r="T81" s="47"/>
      <c r="U81" s="19">
        <f t="shared" si="18"/>
        <v>0</v>
      </c>
      <c r="V81" s="19">
        <f t="shared" si="19"/>
        <v>0</v>
      </c>
      <c r="W81" s="19">
        <f t="shared" si="20"/>
        <v>0</v>
      </c>
      <c r="X81" s="19">
        <f t="shared" si="21"/>
        <v>0</v>
      </c>
      <c r="Y81" s="50"/>
    </row>
    <row r="82" spans="1:25" ht="25.5" outlineLevel="1" x14ac:dyDescent="0.25">
      <c r="A82" s="60" t="s">
        <v>575</v>
      </c>
      <c r="B82" s="58" t="s">
        <v>511</v>
      </c>
      <c r="C82" s="59" t="s">
        <v>102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62">
        <v>0</v>
      </c>
      <c r="J82" s="105">
        <f t="shared" si="15"/>
        <v>0</v>
      </c>
      <c r="K82" s="63">
        <v>7.5</v>
      </c>
      <c r="L82" s="51">
        <v>0</v>
      </c>
      <c r="M82" s="51">
        <v>0</v>
      </c>
      <c r="N82" s="51">
        <v>0</v>
      </c>
      <c r="O82" s="51">
        <v>0</v>
      </c>
      <c r="P82" s="62">
        <v>0</v>
      </c>
      <c r="Q82" s="105">
        <f t="shared" si="16"/>
        <v>7.5</v>
      </c>
      <c r="R82" s="92">
        <f t="shared" si="17"/>
        <v>7.5</v>
      </c>
      <c r="S82" s="84"/>
      <c r="T82" s="47"/>
      <c r="U82" s="19">
        <f t="shared" si="18"/>
        <v>0</v>
      </c>
      <c r="V82" s="19">
        <f t="shared" si="19"/>
        <v>0</v>
      </c>
      <c r="W82" s="19">
        <f t="shared" si="20"/>
        <v>0</v>
      </c>
      <c r="X82" s="19">
        <f t="shared" si="21"/>
        <v>0</v>
      </c>
      <c r="Y82" s="50"/>
    </row>
    <row r="83" spans="1:25" ht="25.5" outlineLevel="1" x14ac:dyDescent="0.25">
      <c r="A83" s="60" t="s">
        <v>576</v>
      </c>
      <c r="B83" s="58" t="s">
        <v>512</v>
      </c>
      <c r="C83" s="59" t="s">
        <v>102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62">
        <v>0</v>
      </c>
      <c r="J83" s="105">
        <f t="shared" si="15"/>
        <v>0</v>
      </c>
      <c r="K83" s="63">
        <v>7.3</v>
      </c>
      <c r="L83" s="51">
        <v>0</v>
      </c>
      <c r="M83" s="51">
        <v>0</v>
      </c>
      <c r="N83" s="51">
        <v>0</v>
      </c>
      <c r="O83" s="51">
        <v>0</v>
      </c>
      <c r="P83" s="62">
        <v>0</v>
      </c>
      <c r="Q83" s="105">
        <f t="shared" si="16"/>
        <v>7.3</v>
      </c>
      <c r="R83" s="92">
        <f t="shared" si="17"/>
        <v>7.3</v>
      </c>
      <c r="S83" s="84"/>
      <c r="T83" s="47"/>
      <c r="U83" s="19">
        <f t="shared" si="18"/>
        <v>0</v>
      </c>
      <c r="V83" s="19">
        <f t="shared" si="19"/>
        <v>0</v>
      </c>
      <c r="W83" s="19">
        <f t="shared" si="20"/>
        <v>0</v>
      </c>
      <c r="X83" s="19">
        <f t="shared" si="21"/>
        <v>0</v>
      </c>
      <c r="Y83" s="50"/>
    </row>
    <row r="84" spans="1:25" ht="25.5" outlineLevel="1" x14ac:dyDescent="0.25">
      <c r="A84" s="60" t="s">
        <v>577</v>
      </c>
      <c r="B84" s="58" t="s">
        <v>513</v>
      </c>
      <c r="C84" s="59" t="s">
        <v>102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62">
        <v>0</v>
      </c>
      <c r="J84" s="105">
        <f t="shared" si="15"/>
        <v>0</v>
      </c>
      <c r="K84" s="63">
        <v>12.6</v>
      </c>
      <c r="L84" s="51">
        <v>0</v>
      </c>
      <c r="M84" s="51">
        <v>0</v>
      </c>
      <c r="N84" s="51">
        <v>0</v>
      </c>
      <c r="O84" s="51">
        <v>0</v>
      </c>
      <c r="P84" s="62">
        <v>0</v>
      </c>
      <c r="Q84" s="105">
        <f t="shared" si="16"/>
        <v>12.6</v>
      </c>
      <c r="R84" s="92">
        <f t="shared" si="17"/>
        <v>12.6</v>
      </c>
      <c r="S84" s="84"/>
      <c r="T84" s="47"/>
      <c r="U84" s="19">
        <f t="shared" si="18"/>
        <v>0</v>
      </c>
      <c r="V84" s="19">
        <f t="shared" si="19"/>
        <v>0</v>
      </c>
      <c r="W84" s="19">
        <f t="shared" si="20"/>
        <v>0</v>
      </c>
      <c r="X84" s="19">
        <f t="shared" si="21"/>
        <v>0</v>
      </c>
      <c r="Y84" s="50"/>
    </row>
    <row r="85" spans="1:25" ht="63.75" outlineLevel="1" x14ac:dyDescent="0.25">
      <c r="A85" s="60" t="s">
        <v>578</v>
      </c>
      <c r="B85" s="58" t="s">
        <v>103</v>
      </c>
      <c r="C85" s="59" t="s">
        <v>98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62">
        <v>0</v>
      </c>
      <c r="J85" s="105">
        <f t="shared" si="15"/>
        <v>0</v>
      </c>
      <c r="K85" s="63">
        <v>0</v>
      </c>
      <c r="L85" s="51">
        <v>1</v>
      </c>
      <c r="M85" s="51">
        <v>0</v>
      </c>
      <c r="N85" s="51">
        <v>0</v>
      </c>
      <c r="O85" s="51">
        <v>0</v>
      </c>
      <c r="P85" s="62">
        <v>0</v>
      </c>
      <c r="Q85" s="105">
        <f t="shared" si="16"/>
        <v>1</v>
      </c>
      <c r="R85" s="92">
        <f t="shared" si="17"/>
        <v>1</v>
      </c>
      <c r="S85" s="84"/>
      <c r="T85" s="47"/>
      <c r="U85" s="19">
        <f t="shared" si="18"/>
        <v>0</v>
      </c>
      <c r="V85" s="19">
        <f t="shared" si="19"/>
        <v>0</v>
      </c>
      <c r="W85" s="19">
        <f t="shared" si="20"/>
        <v>0</v>
      </c>
      <c r="X85" s="19">
        <f t="shared" si="21"/>
        <v>0</v>
      </c>
      <c r="Y85" s="50"/>
    </row>
    <row r="86" spans="1:25" ht="25.5" outlineLevel="1" x14ac:dyDescent="0.25">
      <c r="A86" s="60" t="s">
        <v>579</v>
      </c>
      <c r="B86" s="58" t="s">
        <v>514</v>
      </c>
      <c r="C86" s="59" t="s">
        <v>102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62">
        <v>0</v>
      </c>
      <c r="J86" s="105">
        <f t="shared" si="15"/>
        <v>0</v>
      </c>
      <c r="K86" s="63">
        <v>0</v>
      </c>
      <c r="L86" s="51">
        <v>35.51</v>
      </c>
      <c r="M86" s="51">
        <v>0</v>
      </c>
      <c r="N86" s="51">
        <v>0</v>
      </c>
      <c r="O86" s="51">
        <v>0</v>
      </c>
      <c r="P86" s="62">
        <v>0</v>
      </c>
      <c r="Q86" s="105">
        <f t="shared" si="16"/>
        <v>35.51</v>
      </c>
      <c r="R86" s="92">
        <f t="shared" si="17"/>
        <v>35.51</v>
      </c>
      <c r="S86" s="84"/>
      <c r="T86" s="47"/>
      <c r="U86" s="19">
        <f t="shared" si="18"/>
        <v>0</v>
      </c>
      <c r="V86" s="19">
        <f t="shared" si="19"/>
        <v>0</v>
      </c>
      <c r="W86" s="19">
        <f t="shared" si="20"/>
        <v>0</v>
      </c>
      <c r="X86" s="19">
        <f t="shared" si="21"/>
        <v>0</v>
      </c>
      <c r="Y86" s="50"/>
    </row>
    <row r="87" spans="1:25" s="75" customFormat="1" outlineLevel="1" x14ac:dyDescent="0.25">
      <c r="A87" s="67" t="s">
        <v>99</v>
      </c>
      <c r="B87" s="68" t="s">
        <v>540</v>
      </c>
      <c r="C87" s="69"/>
      <c r="D87" s="71"/>
      <c r="E87" s="71"/>
      <c r="F87" s="71"/>
      <c r="G87" s="71"/>
      <c r="H87" s="71"/>
      <c r="I87" s="97"/>
      <c r="J87" s="92"/>
      <c r="K87" s="112"/>
      <c r="L87" s="71"/>
      <c r="M87" s="71"/>
      <c r="N87" s="71"/>
      <c r="O87" s="71"/>
      <c r="P87" s="97"/>
      <c r="Q87" s="92"/>
      <c r="R87" s="92"/>
      <c r="S87" s="85"/>
      <c r="T87" s="76"/>
      <c r="U87" s="73"/>
      <c r="V87" s="73"/>
      <c r="W87" s="73"/>
      <c r="X87" s="73"/>
      <c r="Y87" s="77"/>
    </row>
    <row r="88" spans="1:25" ht="38.25" outlineLevel="1" x14ac:dyDescent="0.25">
      <c r="A88" s="60" t="s">
        <v>580</v>
      </c>
      <c r="B88" s="58" t="s">
        <v>643</v>
      </c>
      <c r="C88" s="59" t="s">
        <v>98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62">
        <v>1</v>
      </c>
      <c r="J88" s="105">
        <f t="shared" si="15"/>
        <v>1</v>
      </c>
      <c r="K88" s="63">
        <v>0</v>
      </c>
      <c r="L88" s="51">
        <v>0</v>
      </c>
      <c r="M88" s="51">
        <v>0</v>
      </c>
      <c r="N88" s="51">
        <v>0</v>
      </c>
      <c r="O88" s="51">
        <v>0</v>
      </c>
      <c r="P88" s="62">
        <v>0</v>
      </c>
      <c r="Q88" s="105">
        <f t="shared" si="16"/>
        <v>0</v>
      </c>
      <c r="R88" s="92">
        <f t="shared" si="17"/>
        <v>1</v>
      </c>
      <c r="S88" s="84"/>
      <c r="T88" s="47"/>
      <c r="U88" s="19">
        <f>T88+S88</f>
        <v>0</v>
      </c>
      <c r="V88" s="19">
        <f>R88*S88</f>
        <v>0</v>
      </c>
      <c r="W88" s="19">
        <f>T88*R88</f>
        <v>0</v>
      </c>
      <c r="X88" s="19">
        <f>W88+V88</f>
        <v>0</v>
      </c>
      <c r="Y88" s="50"/>
    </row>
    <row r="89" spans="1:25" ht="38.25" outlineLevel="1" x14ac:dyDescent="0.25">
      <c r="A89" s="60" t="s">
        <v>581</v>
      </c>
      <c r="B89" s="58" t="s">
        <v>644</v>
      </c>
      <c r="C89" s="59" t="s">
        <v>98</v>
      </c>
      <c r="D89" s="51">
        <v>13</v>
      </c>
      <c r="E89" s="51">
        <v>0</v>
      </c>
      <c r="F89" s="51">
        <v>0</v>
      </c>
      <c r="G89" s="51">
        <v>0</v>
      </c>
      <c r="H89" s="51">
        <v>0</v>
      </c>
      <c r="I89" s="62">
        <v>0</v>
      </c>
      <c r="J89" s="105">
        <f t="shared" si="15"/>
        <v>13</v>
      </c>
      <c r="K89" s="63">
        <v>0</v>
      </c>
      <c r="L89" s="51">
        <v>0</v>
      </c>
      <c r="M89" s="51">
        <v>0</v>
      </c>
      <c r="N89" s="51">
        <v>0</v>
      </c>
      <c r="O89" s="51">
        <v>0</v>
      </c>
      <c r="P89" s="62">
        <v>0</v>
      </c>
      <c r="Q89" s="105">
        <f t="shared" si="16"/>
        <v>0</v>
      </c>
      <c r="R89" s="92">
        <f t="shared" si="17"/>
        <v>13</v>
      </c>
      <c r="S89" s="84"/>
      <c r="T89" s="47"/>
      <c r="U89" s="19">
        <f>T89+S89</f>
        <v>0</v>
      </c>
      <c r="V89" s="19">
        <f>R89*S89</f>
        <v>0</v>
      </c>
      <c r="W89" s="19">
        <f>T89*R89</f>
        <v>0</v>
      </c>
      <c r="X89" s="19">
        <f>W89+V89</f>
        <v>0</v>
      </c>
      <c r="Y89" s="50"/>
    </row>
    <row r="90" spans="1:25" ht="38.25" outlineLevel="1" x14ac:dyDescent="0.25">
      <c r="A90" s="60" t="s">
        <v>582</v>
      </c>
      <c r="B90" s="58" t="s">
        <v>645</v>
      </c>
      <c r="C90" s="59" t="s">
        <v>98</v>
      </c>
      <c r="D90" s="51">
        <v>0</v>
      </c>
      <c r="E90" s="51">
        <v>0</v>
      </c>
      <c r="F90" s="51">
        <v>0</v>
      </c>
      <c r="G90" s="51">
        <v>19</v>
      </c>
      <c r="H90" s="51">
        <v>3</v>
      </c>
      <c r="I90" s="62">
        <v>0</v>
      </c>
      <c r="J90" s="105">
        <f t="shared" si="15"/>
        <v>22</v>
      </c>
      <c r="K90" s="63">
        <v>0</v>
      </c>
      <c r="L90" s="51">
        <v>0</v>
      </c>
      <c r="M90" s="51">
        <v>0</v>
      </c>
      <c r="N90" s="51">
        <v>5</v>
      </c>
      <c r="O90" s="51">
        <v>3</v>
      </c>
      <c r="P90" s="62">
        <v>0</v>
      </c>
      <c r="Q90" s="105">
        <f t="shared" si="16"/>
        <v>8</v>
      </c>
      <c r="R90" s="92">
        <f t="shared" si="17"/>
        <v>30</v>
      </c>
      <c r="S90" s="84"/>
      <c r="T90" s="47"/>
      <c r="U90" s="19">
        <f t="shared" ref="U90:U98" si="22">T90+S90</f>
        <v>0</v>
      </c>
      <c r="V90" s="19">
        <f t="shared" ref="V90:V98" si="23">R90*S90</f>
        <v>0</v>
      </c>
      <c r="W90" s="19">
        <f t="shared" ref="W90:W98" si="24">T90*R90</f>
        <v>0</v>
      </c>
      <c r="X90" s="19">
        <f t="shared" ref="X90:X98" si="25">W90+V90</f>
        <v>0</v>
      </c>
      <c r="Y90" s="61"/>
    </row>
    <row r="91" spans="1:25" ht="38.25" outlineLevel="1" x14ac:dyDescent="0.25">
      <c r="A91" s="60" t="s">
        <v>583</v>
      </c>
      <c r="B91" s="58" t="s">
        <v>646</v>
      </c>
      <c r="C91" s="59" t="s">
        <v>98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62">
        <v>0</v>
      </c>
      <c r="J91" s="105">
        <f t="shared" si="15"/>
        <v>0</v>
      </c>
      <c r="K91" s="63">
        <v>3</v>
      </c>
      <c r="L91" s="51">
        <v>0</v>
      </c>
      <c r="M91" s="51">
        <v>0</v>
      </c>
      <c r="N91" s="51">
        <v>0</v>
      </c>
      <c r="O91" s="51">
        <v>0</v>
      </c>
      <c r="P91" s="62">
        <v>0</v>
      </c>
      <c r="Q91" s="105">
        <f t="shared" si="16"/>
        <v>3</v>
      </c>
      <c r="R91" s="92">
        <f t="shared" si="17"/>
        <v>3</v>
      </c>
      <c r="S91" s="84"/>
      <c r="T91" s="47"/>
      <c r="U91" s="19">
        <f t="shared" si="22"/>
        <v>0</v>
      </c>
      <c r="V91" s="19">
        <f t="shared" si="23"/>
        <v>0</v>
      </c>
      <c r="W91" s="19">
        <f t="shared" si="24"/>
        <v>0</v>
      </c>
      <c r="X91" s="19">
        <f t="shared" si="25"/>
        <v>0</v>
      </c>
      <c r="Y91" s="61"/>
    </row>
    <row r="92" spans="1:25" ht="38.25" outlineLevel="1" x14ac:dyDescent="0.25">
      <c r="A92" s="60" t="s">
        <v>584</v>
      </c>
      <c r="B92" s="58" t="s">
        <v>647</v>
      </c>
      <c r="C92" s="59" t="s">
        <v>98</v>
      </c>
      <c r="D92" s="51">
        <v>0</v>
      </c>
      <c r="E92" s="51">
        <v>8</v>
      </c>
      <c r="F92" s="51">
        <v>0</v>
      </c>
      <c r="G92" s="51">
        <v>0</v>
      </c>
      <c r="H92" s="51">
        <v>0</v>
      </c>
      <c r="I92" s="62">
        <v>0</v>
      </c>
      <c r="J92" s="105">
        <f t="shared" si="15"/>
        <v>8</v>
      </c>
      <c r="K92" s="63">
        <v>0</v>
      </c>
      <c r="L92" s="51">
        <v>0</v>
      </c>
      <c r="M92" s="51">
        <v>0</v>
      </c>
      <c r="N92" s="51">
        <v>0</v>
      </c>
      <c r="O92" s="51">
        <v>0</v>
      </c>
      <c r="P92" s="62">
        <v>0</v>
      </c>
      <c r="Q92" s="105">
        <f t="shared" si="16"/>
        <v>0</v>
      </c>
      <c r="R92" s="92">
        <f t="shared" si="17"/>
        <v>8</v>
      </c>
      <c r="S92" s="84"/>
      <c r="T92" s="47"/>
      <c r="U92" s="19">
        <f t="shared" si="22"/>
        <v>0</v>
      </c>
      <c r="V92" s="19">
        <f t="shared" si="23"/>
        <v>0</v>
      </c>
      <c r="W92" s="19">
        <f t="shared" si="24"/>
        <v>0</v>
      </c>
      <c r="X92" s="19">
        <f t="shared" si="25"/>
        <v>0</v>
      </c>
      <c r="Y92" s="61"/>
    </row>
    <row r="93" spans="1:25" ht="38.25" outlineLevel="1" x14ac:dyDescent="0.25">
      <c r="A93" s="60" t="s">
        <v>585</v>
      </c>
      <c r="B93" s="58" t="s">
        <v>648</v>
      </c>
      <c r="C93" s="59" t="s">
        <v>98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62">
        <v>0</v>
      </c>
      <c r="J93" s="105">
        <f t="shared" si="15"/>
        <v>0</v>
      </c>
      <c r="K93" s="63">
        <v>0</v>
      </c>
      <c r="L93" s="51">
        <v>5</v>
      </c>
      <c r="M93" s="51">
        <v>0</v>
      </c>
      <c r="N93" s="51">
        <v>0</v>
      </c>
      <c r="O93" s="51">
        <v>0</v>
      </c>
      <c r="P93" s="62">
        <v>0</v>
      </c>
      <c r="Q93" s="105">
        <f t="shared" si="16"/>
        <v>5</v>
      </c>
      <c r="R93" s="92">
        <f t="shared" si="17"/>
        <v>5</v>
      </c>
      <c r="S93" s="84"/>
      <c r="T93" s="47"/>
      <c r="U93" s="19">
        <f t="shared" si="22"/>
        <v>0</v>
      </c>
      <c r="V93" s="19">
        <f t="shared" si="23"/>
        <v>0</v>
      </c>
      <c r="W93" s="19">
        <f t="shared" si="24"/>
        <v>0</v>
      </c>
      <c r="X93" s="19">
        <f t="shared" si="25"/>
        <v>0</v>
      </c>
      <c r="Y93" s="61"/>
    </row>
    <row r="94" spans="1:25" ht="38.25" outlineLevel="1" x14ac:dyDescent="0.25">
      <c r="A94" s="60" t="s">
        <v>586</v>
      </c>
      <c r="B94" s="58" t="s">
        <v>649</v>
      </c>
      <c r="C94" s="59" t="s">
        <v>98</v>
      </c>
      <c r="D94" s="51">
        <v>0</v>
      </c>
      <c r="E94" s="51">
        <v>0</v>
      </c>
      <c r="F94" s="51">
        <v>0</v>
      </c>
      <c r="G94" s="51">
        <v>5</v>
      </c>
      <c r="H94" s="51">
        <v>0</v>
      </c>
      <c r="I94" s="62">
        <v>0</v>
      </c>
      <c r="J94" s="105">
        <f t="shared" si="15"/>
        <v>5</v>
      </c>
      <c r="K94" s="63">
        <v>0</v>
      </c>
      <c r="L94" s="51">
        <v>0</v>
      </c>
      <c r="M94" s="51">
        <v>0</v>
      </c>
      <c r="N94" s="51">
        <v>0</v>
      </c>
      <c r="O94" s="51">
        <v>0</v>
      </c>
      <c r="P94" s="62">
        <v>0</v>
      </c>
      <c r="Q94" s="105">
        <f t="shared" si="16"/>
        <v>0</v>
      </c>
      <c r="R94" s="92">
        <f t="shared" si="17"/>
        <v>5</v>
      </c>
      <c r="S94" s="84"/>
      <c r="T94" s="47"/>
      <c r="U94" s="19">
        <f t="shared" si="22"/>
        <v>0</v>
      </c>
      <c r="V94" s="19">
        <f t="shared" si="23"/>
        <v>0</v>
      </c>
      <c r="W94" s="19">
        <f t="shared" si="24"/>
        <v>0</v>
      </c>
      <c r="X94" s="19">
        <f t="shared" si="25"/>
        <v>0</v>
      </c>
      <c r="Y94" s="61"/>
    </row>
    <row r="95" spans="1:25" ht="38.25" outlineLevel="1" x14ac:dyDescent="0.25">
      <c r="A95" s="60" t="s">
        <v>587</v>
      </c>
      <c r="B95" s="58" t="s">
        <v>650</v>
      </c>
      <c r="C95" s="59" t="s">
        <v>98</v>
      </c>
      <c r="D95" s="51">
        <v>0</v>
      </c>
      <c r="E95" s="51">
        <v>7</v>
      </c>
      <c r="F95" s="51">
        <v>0</v>
      </c>
      <c r="G95" s="51">
        <v>0</v>
      </c>
      <c r="H95" s="51">
        <v>0</v>
      </c>
      <c r="I95" s="62">
        <v>4</v>
      </c>
      <c r="J95" s="105">
        <f t="shared" si="15"/>
        <v>11</v>
      </c>
      <c r="K95" s="63">
        <v>0</v>
      </c>
      <c r="L95" s="51">
        <v>0</v>
      </c>
      <c r="M95" s="51">
        <v>0</v>
      </c>
      <c r="N95" s="51">
        <v>0</v>
      </c>
      <c r="O95" s="51">
        <v>0</v>
      </c>
      <c r="P95" s="62">
        <v>0</v>
      </c>
      <c r="Q95" s="105">
        <f t="shared" si="16"/>
        <v>0</v>
      </c>
      <c r="R95" s="92">
        <f t="shared" si="17"/>
        <v>11</v>
      </c>
      <c r="S95" s="84"/>
      <c r="T95" s="47"/>
      <c r="U95" s="19">
        <f t="shared" si="22"/>
        <v>0</v>
      </c>
      <c r="V95" s="19">
        <f t="shared" si="23"/>
        <v>0</v>
      </c>
      <c r="W95" s="19">
        <f t="shared" si="24"/>
        <v>0</v>
      </c>
      <c r="X95" s="19">
        <f t="shared" si="25"/>
        <v>0</v>
      </c>
      <c r="Y95" s="61"/>
    </row>
    <row r="96" spans="1:25" ht="38.25" outlineLevel="1" x14ac:dyDescent="0.25">
      <c r="A96" s="60" t="s">
        <v>588</v>
      </c>
      <c r="B96" s="58" t="s">
        <v>651</v>
      </c>
      <c r="C96" s="59" t="s">
        <v>98</v>
      </c>
      <c r="D96" s="51">
        <v>0</v>
      </c>
      <c r="E96" s="51">
        <v>1</v>
      </c>
      <c r="F96" s="51">
        <v>0</v>
      </c>
      <c r="G96" s="51">
        <v>0</v>
      </c>
      <c r="H96" s="51">
        <v>0</v>
      </c>
      <c r="I96" s="62">
        <v>0</v>
      </c>
      <c r="J96" s="105">
        <f t="shared" si="15"/>
        <v>1</v>
      </c>
      <c r="K96" s="63">
        <v>0</v>
      </c>
      <c r="L96" s="51">
        <v>1</v>
      </c>
      <c r="M96" s="51">
        <v>0</v>
      </c>
      <c r="N96" s="51">
        <v>0</v>
      </c>
      <c r="O96" s="51">
        <v>0</v>
      </c>
      <c r="P96" s="62">
        <v>0</v>
      </c>
      <c r="Q96" s="105">
        <f t="shared" si="16"/>
        <v>1</v>
      </c>
      <c r="R96" s="92">
        <f t="shared" si="17"/>
        <v>2</v>
      </c>
      <c r="S96" s="84"/>
      <c r="T96" s="47"/>
      <c r="U96" s="19">
        <f t="shared" si="22"/>
        <v>0</v>
      </c>
      <c r="V96" s="19">
        <f t="shared" si="23"/>
        <v>0</v>
      </c>
      <c r="W96" s="19">
        <f t="shared" si="24"/>
        <v>0</v>
      </c>
      <c r="X96" s="19">
        <f t="shared" si="25"/>
        <v>0</v>
      </c>
      <c r="Y96" s="61"/>
    </row>
    <row r="97" spans="1:25" ht="38.25" outlineLevel="1" x14ac:dyDescent="0.25">
      <c r="A97" s="60" t="s">
        <v>589</v>
      </c>
      <c r="B97" s="58" t="s">
        <v>652</v>
      </c>
      <c r="C97" s="59" t="s">
        <v>98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62">
        <v>1</v>
      </c>
      <c r="J97" s="105">
        <f t="shared" si="15"/>
        <v>1</v>
      </c>
      <c r="K97" s="63">
        <v>0</v>
      </c>
      <c r="L97" s="51">
        <v>0</v>
      </c>
      <c r="M97" s="51">
        <v>0</v>
      </c>
      <c r="N97" s="51">
        <v>0</v>
      </c>
      <c r="O97" s="51">
        <v>0</v>
      </c>
      <c r="P97" s="62">
        <v>0</v>
      </c>
      <c r="Q97" s="105">
        <f t="shared" si="16"/>
        <v>0</v>
      </c>
      <c r="R97" s="92">
        <f t="shared" si="17"/>
        <v>1</v>
      </c>
      <c r="S97" s="84"/>
      <c r="T97" s="47"/>
      <c r="U97" s="19">
        <f t="shared" si="22"/>
        <v>0</v>
      </c>
      <c r="V97" s="19">
        <f t="shared" si="23"/>
        <v>0</v>
      </c>
      <c r="W97" s="19">
        <f t="shared" si="24"/>
        <v>0</v>
      </c>
      <c r="X97" s="19">
        <f t="shared" si="25"/>
        <v>0</v>
      </c>
      <c r="Y97" s="61"/>
    </row>
    <row r="98" spans="1:25" ht="38.25" outlineLevel="1" x14ac:dyDescent="0.25">
      <c r="A98" s="60" t="s">
        <v>590</v>
      </c>
      <c r="B98" s="58" t="s">
        <v>653</v>
      </c>
      <c r="C98" s="59" t="s">
        <v>98</v>
      </c>
      <c r="D98" s="51">
        <v>0</v>
      </c>
      <c r="E98" s="51">
        <v>0</v>
      </c>
      <c r="F98" s="51">
        <v>0</v>
      </c>
      <c r="G98" s="51">
        <v>1</v>
      </c>
      <c r="H98" s="51">
        <v>0</v>
      </c>
      <c r="I98" s="62">
        <v>0</v>
      </c>
      <c r="J98" s="105">
        <f t="shared" si="15"/>
        <v>1</v>
      </c>
      <c r="K98" s="63">
        <v>0</v>
      </c>
      <c r="L98" s="51">
        <v>0</v>
      </c>
      <c r="M98" s="51">
        <v>0</v>
      </c>
      <c r="N98" s="51">
        <v>0</v>
      </c>
      <c r="O98" s="51">
        <v>0</v>
      </c>
      <c r="P98" s="62">
        <v>0</v>
      </c>
      <c r="Q98" s="105">
        <f t="shared" si="16"/>
        <v>0</v>
      </c>
      <c r="R98" s="92">
        <f t="shared" si="17"/>
        <v>1</v>
      </c>
      <c r="S98" s="84"/>
      <c r="T98" s="47"/>
      <c r="U98" s="19">
        <f t="shared" si="22"/>
        <v>0</v>
      </c>
      <c r="V98" s="19">
        <f t="shared" si="23"/>
        <v>0</v>
      </c>
      <c r="W98" s="19">
        <f t="shared" si="24"/>
        <v>0</v>
      </c>
      <c r="X98" s="19">
        <f t="shared" si="25"/>
        <v>0</v>
      </c>
      <c r="Y98" s="61"/>
    </row>
    <row r="99" spans="1:25" s="75" customFormat="1" outlineLevel="1" x14ac:dyDescent="0.25">
      <c r="A99" s="67" t="s">
        <v>100</v>
      </c>
      <c r="B99" s="68" t="s">
        <v>541</v>
      </c>
      <c r="C99" s="69"/>
      <c r="D99" s="71"/>
      <c r="E99" s="71"/>
      <c r="F99" s="71"/>
      <c r="G99" s="71"/>
      <c r="H99" s="71"/>
      <c r="I99" s="97"/>
      <c r="J99" s="92"/>
      <c r="K99" s="112"/>
      <c r="L99" s="71"/>
      <c r="M99" s="71"/>
      <c r="N99" s="71"/>
      <c r="O99" s="71"/>
      <c r="P99" s="97"/>
      <c r="Q99" s="92"/>
      <c r="R99" s="92"/>
      <c r="S99" s="85"/>
      <c r="T99" s="76"/>
      <c r="U99" s="73"/>
      <c r="V99" s="73"/>
      <c r="W99" s="73"/>
      <c r="X99" s="73"/>
      <c r="Y99" s="77"/>
    </row>
    <row r="100" spans="1:25" ht="102" outlineLevel="1" x14ac:dyDescent="0.25">
      <c r="A100" s="60" t="s">
        <v>591</v>
      </c>
      <c r="B100" s="58" t="s">
        <v>478</v>
      </c>
      <c r="C100" s="59" t="s">
        <v>98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62">
        <v>0</v>
      </c>
      <c r="J100" s="105">
        <f t="shared" si="15"/>
        <v>0</v>
      </c>
      <c r="K100" s="63">
        <v>0</v>
      </c>
      <c r="L100" s="51">
        <v>0</v>
      </c>
      <c r="M100" s="51">
        <v>0</v>
      </c>
      <c r="N100" s="51">
        <v>0</v>
      </c>
      <c r="O100" s="51">
        <v>0</v>
      </c>
      <c r="P100" s="62">
        <v>2</v>
      </c>
      <c r="Q100" s="105">
        <f t="shared" si="16"/>
        <v>2</v>
      </c>
      <c r="R100" s="92">
        <f t="shared" si="17"/>
        <v>2</v>
      </c>
      <c r="S100" s="84"/>
      <c r="T100" s="47"/>
      <c r="U100" s="19">
        <f>T100+S100</f>
        <v>0</v>
      </c>
      <c r="V100" s="19">
        <f>R100*S100</f>
        <v>0</v>
      </c>
      <c r="W100" s="19">
        <f>T100*R100</f>
        <v>0</v>
      </c>
      <c r="X100" s="19">
        <f>W100+V100</f>
        <v>0</v>
      </c>
      <c r="Y100" s="61"/>
    </row>
    <row r="101" spans="1:25" ht="63.75" outlineLevel="1" x14ac:dyDescent="0.25">
      <c r="A101" s="60" t="s">
        <v>592</v>
      </c>
      <c r="B101" s="58" t="s">
        <v>487</v>
      </c>
      <c r="C101" s="59" t="s">
        <v>98</v>
      </c>
      <c r="D101" s="51">
        <v>0</v>
      </c>
      <c r="E101" s="51">
        <v>0</v>
      </c>
      <c r="F101" s="51">
        <v>0</v>
      </c>
      <c r="G101" s="51">
        <v>26</v>
      </c>
      <c r="H101" s="51">
        <v>25</v>
      </c>
      <c r="I101" s="62">
        <v>0</v>
      </c>
      <c r="J101" s="105">
        <f t="shared" si="15"/>
        <v>51</v>
      </c>
      <c r="K101" s="63">
        <v>14</v>
      </c>
      <c r="L101" s="51">
        <v>0</v>
      </c>
      <c r="M101" s="51">
        <v>7</v>
      </c>
      <c r="N101" s="51">
        <v>0</v>
      </c>
      <c r="O101" s="51">
        <v>0</v>
      </c>
      <c r="P101" s="62">
        <v>0</v>
      </c>
      <c r="Q101" s="105">
        <f t="shared" si="16"/>
        <v>21</v>
      </c>
      <c r="R101" s="92">
        <f t="shared" si="17"/>
        <v>72</v>
      </c>
      <c r="S101" s="84"/>
      <c r="T101" s="47"/>
      <c r="U101" s="19">
        <f t="shared" ref="U101:U115" si="26">T101+S101</f>
        <v>0</v>
      </c>
      <c r="V101" s="19">
        <f t="shared" ref="V101:V115" si="27">R101*S101</f>
        <v>0</v>
      </c>
      <c r="W101" s="19">
        <f t="shared" ref="W101:W115" si="28">T101*R101</f>
        <v>0</v>
      </c>
      <c r="X101" s="19">
        <f t="shared" ref="X101:X115" si="29">W101+V101</f>
        <v>0</v>
      </c>
      <c r="Y101" s="61"/>
    </row>
    <row r="102" spans="1:25" ht="63.75" outlineLevel="1" x14ac:dyDescent="0.25">
      <c r="A102" s="60" t="s">
        <v>594</v>
      </c>
      <c r="B102" s="58" t="s">
        <v>490</v>
      </c>
      <c r="C102" s="59"/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62">
        <v>0</v>
      </c>
      <c r="J102" s="105">
        <f t="shared" si="15"/>
        <v>0</v>
      </c>
      <c r="K102" s="63">
        <v>0</v>
      </c>
      <c r="L102" s="51">
        <v>0</v>
      </c>
      <c r="M102" s="51">
        <v>3</v>
      </c>
      <c r="N102" s="51">
        <v>0</v>
      </c>
      <c r="O102" s="51">
        <v>0</v>
      </c>
      <c r="P102" s="62">
        <v>0</v>
      </c>
      <c r="Q102" s="105">
        <f t="shared" si="16"/>
        <v>3</v>
      </c>
      <c r="R102" s="92">
        <f t="shared" si="17"/>
        <v>3</v>
      </c>
      <c r="S102" s="84"/>
      <c r="T102" s="47"/>
      <c r="U102" s="19">
        <f t="shared" si="26"/>
        <v>0</v>
      </c>
      <c r="V102" s="19">
        <f t="shared" si="27"/>
        <v>0</v>
      </c>
      <c r="W102" s="19">
        <f t="shared" si="28"/>
        <v>0</v>
      </c>
      <c r="X102" s="19">
        <f t="shared" si="29"/>
        <v>0</v>
      </c>
      <c r="Y102" s="61"/>
    </row>
    <row r="103" spans="1:25" ht="63.75" outlineLevel="1" x14ac:dyDescent="0.25">
      <c r="A103" s="60" t="s">
        <v>593</v>
      </c>
      <c r="B103" s="58" t="s">
        <v>491</v>
      </c>
      <c r="C103" s="59" t="s">
        <v>98</v>
      </c>
      <c r="D103" s="51">
        <v>9</v>
      </c>
      <c r="E103" s="51">
        <v>0</v>
      </c>
      <c r="F103" s="51">
        <v>0</v>
      </c>
      <c r="G103" s="51">
        <v>0</v>
      </c>
      <c r="H103" s="51">
        <v>0</v>
      </c>
      <c r="I103" s="62">
        <v>0</v>
      </c>
      <c r="J103" s="105">
        <f t="shared" si="15"/>
        <v>9</v>
      </c>
      <c r="K103" s="63">
        <v>0</v>
      </c>
      <c r="L103" s="51">
        <v>0</v>
      </c>
      <c r="M103" s="51">
        <v>0</v>
      </c>
      <c r="N103" s="51">
        <v>0</v>
      </c>
      <c r="O103" s="51">
        <v>0</v>
      </c>
      <c r="P103" s="62">
        <v>0</v>
      </c>
      <c r="Q103" s="105">
        <f t="shared" si="16"/>
        <v>0</v>
      </c>
      <c r="R103" s="92">
        <f t="shared" si="17"/>
        <v>9</v>
      </c>
      <c r="S103" s="84"/>
      <c r="T103" s="47"/>
      <c r="U103" s="19">
        <f t="shared" si="26"/>
        <v>0</v>
      </c>
      <c r="V103" s="19">
        <f t="shared" si="27"/>
        <v>0</v>
      </c>
      <c r="W103" s="19">
        <f t="shared" si="28"/>
        <v>0</v>
      </c>
      <c r="X103" s="19">
        <f t="shared" si="29"/>
        <v>0</v>
      </c>
      <c r="Y103" s="61"/>
    </row>
    <row r="104" spans="1:25" ht="63.75" outlineLevel="1" x14ac:dyDescent="0.25">
      <c r="A104" s="60" t="s">
        <v>595</v>
      </c>
      <c r="B104" s="58" t="s">
        <v>493</v>
      </c>
      <c r="C104" s="59" t="s">
        <v>98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62">
        <v>1</v>
      </c>
      <c r="J104" s="105">
        <f t="shared" si="15"/>
        <v>1</v>
      </c>
      <c r="K104" s="63">
        <v>0</v>
      </c>
      <c r="L104" s="51">
        <v>0</v>
      </c>
      <c r="M104" s="51">
        <v>0</v>
      </c>
      <c r="N104" s="51">
        <v>0</v>
      </c>
      <c r="O104" s="51">
        <v>0</v>
      </c>
      <c r="P104" s="62">
        <v>0</v>
      </c>
      <c r="Q104" s="105">
        <f t="shared" si="16"/>
        <v>0</v>
      </c>
      <c r="R104" s="92">
        <f t="shared" si="17"/>
        <v>1</v>
      </c>
      <c r="S104" s="84"/>
      <c r="T104" s="47"/>
      <c r="U104" s="19">
        <f t="shared" si="26"/>
        <v>0</v>
      </c>
      <c r="V104" s="19">
        <f t="shared" si="27"/>
        <v>0</v>
      </c>
      <c r="W104" s="19">
        <f t="shared" si="28"/>
        <v>0</v>
      </c>
      <c r="X104" s="19">
        <f t="shared" si="29"/>
        <v>0</v>
      </c>
      <c r="Y104" s="61"/>
    </row>
    <row r="105" spans="1:25" ht="63.75" outlineLevel="1" x14ac:dyDescent="0.25">
      <c r="A105" s="60" t="s">
        <v>596</v>
      </c>
      <c r="B105" s="58" t="s">
        <v>494</v>
      </c>
      <c r="C105" s="59" t="s">
        <v>98</v>
      </c>
      <c r="D105" s="51">
        <v>1</v>
      </c>
      <c r="E105" s="51">
        <v>0</v>
      </c>
      <c r="F105" s="51">
        <v>0</v>
      </c>
      <c r="G105" s="51">
        <v>0</v>
      </c>
      <c r="H105" s="51">
        <v>0</v>
      </c>
      <c r="I105" s="62">
        <v>0</v>
      </c>
      <c r="J105" s="105">
        <f t="shared" si="15"/>
        <v>1</v>
      </c>
      <c r="K105" s="63">
        <v>0</v>
      </c>
      <c r="L105" s="51">
        <v>0</v>
      </c>
      <c r="M105" s="51">
        <v>0</v>
      </c>
      <c r="N105" s="51">
        <v>0</v>
      </c>
      <c r="O105" s="51">
        <v>0</v>
      </c>
      <c r="P105" s="62">
        <v>0</v>
      </c>
      <c r="Q105" s="105">
        <f t="shared" si="16"/>
        <v>0</v>
      </c>
      <c r="R105" s="92">
        <f t="shared" si="17"/>
        <v>1</v>
      </c>
      <c r="S105" s="84"/>
      <c r="T105" s="47"/>
      <c r="U105" s="19">
        <f t="shared" si="26"/>
        <v>0</v>
      </c>
      <c r="V105" s="19">
        <f t="shared" si="27"/>
        <v>0</v>
      </c>
      <c r="W105" s="19">
        <f t="shared" si="28"/>
        <v>0</v>
      </c>
      <c r="X105" s="19">
        <f t="shared" si="29"/>
        <v>0</v>
      </c>
      <c r="Y105" s="61"/>
    </row>
    <row r="106" spans="1:25" ht="63.75" outlineLevel="1" x14ac:dyDescent="0.25">
      <c r="A106" s="60" t="s">
        <v>597</v>
      </c>
      <c r="B106" s="58" t="s">
        <v>496</v>
      </c>
      <c r="C106" s="59" t="s">
        <v>98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62">
        <v>0</v>
      </c>
      <c r="J106" s="105">
        <f t="shared" si="15"/>
        <v>0</v>
      </c>
      <c r="K106" s="63">
        <v>5</v>
      </c>
      <c r="L106" s="51">
        <v>0</v>
      </c>
      <c r="M106" s="51">
        <v>0</v>
      </c>
      <c r="N106" s="51">
        <v>0</v>
      </c>
      <c r="O106" s="51">
        <v>0</v>
      </c>
      <c r="P106" s="62">
        <v>0</v>
      </c>
      <c r="Q106" s="105">
        <f t="shared" si="16"/>
        <v>5</v>
      </c>
      <c r="R106" s="92">
        <f t="shared" si="17"/>
        <v>5</v>
      </c>
      <c r="S106" s="84"/>
      <c r="T106" s="47"/>
      <c r="U106" s="19">
        <f t="shared" si="26"/>
        <v>0</v>
      </c>
      <c r="V106" s="19">
        <f t="shared" si="27"/>
        <v>0</v>
      </c>
      <c r="W106" s="19">
        <f t="shared" si="28"/>
        <v>0</v>
      </c>
      <c r="X106" s="19">
        <f t="shared" si="29"/>
        <v>0</v>
      </c>
      <c r="Y106" s="61"/>
    </row>
    <row r="107" spans="1:25" ht="63.75" outlineLevel="1" x14ac:dyDescent="0.25">
      <c r="A107" s="60" t="s">
        <v>598</v>
      </c>
      <c r="B107" s="58" t="s">
        <v>497</v>
      </c>
      <c r="C107" s="59" t="s">
        <v>98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62">
        <v>0</v>
      </c>
      <c r="J107" s="105">
        <f t="shared" si="15"/>
        <v>0</v>
      </c>
      <c r="K107" s="63">
        <v>0</v>
      </c>
      <c r="L107" s="51">
        <v>2</v>
      </c>
      <c r="M107" s="51">
        <v>0</v>
      </c>
      <c r="N107" s="51">
        <v>0</v>
      </c>
      <c r="O107" s="51">
        <v>0</v>
      </c>
      <c r="P107" s="62">
        <v>0</v>
      </c>
      <c r="Q107" s="105">
        <f t="shared" si="16"/>
        <v>2</v>
      </c>
      <c r="R107" s="92">
        <f t="shared" si="17"/>
        <v>2</v>
      </c>
      <c r="S107" s="84"/>
      <c r="T107" s="47"/>
      <c r="U107" s="19">
        <f t="shared" si="26"/>
        <v>0</v>
      </c>
      <c r="V107" s="19">
        <f t="shared" si="27"/>
        <v>0</v>
      </c>
      <c r="W107" s="19">
        <f t="shared" si="28"/>
        <v>0</v>
      </c>
      <c r="X107" s="19">
        <f t="shared" si="29"/>
        <v>0</v>
      </c>
      <c r="Y107" s="61"/>
    </row>
    <row r="108" spans="1:25" ht="63.75" outlineLevel="1" x14ac:dyDescent="0.25">
      <c r="A108" s="60" t="s">
        <v>599</v>
      </c>
      <c r="B108" s="58" t="s">
        <v>498</v>
      </c>
      <c r="C108" s="59" t="s">
        <v>98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62">
        <v>0</v>
      </c>
      <c r="J108" s="105">
        <f t="shared" si="15"/>
        <v>0</v>
      </c>
      <c r="K108" s="63">
        <v>0</v>
      </c>
      <c r="L108" s="51">
        <v>0</v>
      </c>
      <c r="M108" s="51">
        <v>0</v>
      </c>
      <c r="N108" s="51">
        <v>3</v>
      </c>
      <c r="O108" s="51">
        <v>3</v>
      </c>
      <c r="P108" s="62">
        <v>0</v>
      </c>
      <c r="Q108" s="105">
        <f t="shared" si="16"/>
        <v>6</v>
      </c>
      <c r="R108" s="92">
        <f t="shared" si="17"/>
        <v>6</v>
      </c>
      <c r="S108" s="84"/>
      <c r="T108" s="47"/>
      <c r="U108" s="19">
        <f t="shared" si="26"/>
        <v>0</v>
      </c>
      <c r="V108" s="19">
        <f t="shared" si="27"/>
        <v>0</v>
      </c>
      <c r="W108" s="19">
        <f t="shared" si="28"/>
        <v>0</v>
      </c>
      <c r="X108" s="19">
        <f t="shared" si="29"/>
        <v>0</v>
      </c>
      <c r="Y108" s="61"/>
    </row>
    <row r="109" spans="1:25" ht="51" outlineLevel="1" x14ac:dyDescent="0.25">
      <c r="A109" s="60" t="s">
        <v>600</v>
      </c>
      <c r="B109" s="58" t="s">
        <v>539</v>
      </c>
      <c r="C109" s="59" t="s">
        <v>98</v>
      </c>
      <c r="D109" s="51">
        <v>0</v>
      </c>
      <c r="E109" s="51">
        <v>0</v>
      </c>
      <c r="F109" s="51">
        <v>0</v>
      </c>
      <c r="G109" s="51">
        <v>8</v>
      </c>
      <c r="H109" s="51">
        <v>0</v>
      </c>
      <c r="I109" s="62">
        <v>0</v>
      </c>
      <c r="J109" s="105">
        <f t="shared" si="15"/>
        <v>8</v>
      </c>
      <c r="K109" s="63">
        <v>0</v>
      </c>
      <c r="L109" s="51">
        <v>0</v>
      </c>
      <c r="M109" s="51">
        <v>0</v>
      </c>
      <c r="N109" s="51">
        <v>0</v>
      </c>
      <c r="O109" s="51">
        <v>0</v>
      </c>
      <c r="P109" s="62">
        <v>0</v>
      </c>
      <c r="Q109" s="105">
        <f t="shared" si="16"/>
        <v>0</v>
      </c>
      <c r="R109" s="92">
        <f t="shared" si="17"/>
        <v>8</v>
      </c>
      <c r="S109" s="84"/>
      <c r="T109" s="47"/>
      <c r="U109" s="19">
        <f t="shared" si="26"/>
        <v>0</v>
      </c>
      <c r="V109" s="19">
        <f t="shared" si="27"/>
        <v>0</v>
      </c>
      <c r="W109" s="19">
        <f t="shared" si="28"/>
        <v>0</v>
      </c>
      <c r="X109" s="19">
        <f t="shared" si="29"/>
        <v>0</v>
      </c>
      <c r="Y109" s="61"/>
    </row>
    <row r="110" spans="1:25" ht="63.75" outlineLevel="1" x14ac:dyDescent="0.25">
      <c r="A110" s="60" t="s">
        <v>601</v>
      </c>
      <c r="B110" s="58" t="s">
        <v>501</v>
      </c>
      <c r="C110" s="59" t="s">
        <v>98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62">
        <v>5</v>
      </c>
      <c r="J110" s="105">
        <f t="shared" si="15"/>
        <v>5</v>
      </c>
      <c r="K110" s="63">
        <v>0</v>
      </c>
      <c r="L110" s="51">
        <v>0</v>
      </c>
      <c r="M110" s="51">
        <v>0</v>
      </c>
      <c r="N110" s="51">
        <v>0</v>
      </c>
      <c r="O110" s="51">
        <v>0</v>
      </c>
      <c r="P110" s="62">
        <v>0</v>
      </c>
      <c r="Q110" s="105">
        <f t="shared" si="16"/>
        <v>0</v>
      </c>
      <c r="R110" s="92">
        <f t="shared" si="17"/>
        <v>5</v>
      </c>
      <c r="S110" s="84"/>
      <c r="T110" s="47"/>
      <c r="U110" s="19">
        <f t="shared" si="26"/>
        <v>0</v>
      </c>
      <c r="V110" s="19">
        <f t="shared" si="27"/>
        <v>0</v>
      </c>
      <c r="W110" s="19">
        <f t="shared" si="28"/>
        <v>0</v>
      </c>
      <c r="X110" s="19">
        <f t="shared" si="29"/>
        <v>0</v>
      </c>
      <c r="Y110" s="61"/>
    </row>
    <row r="111" spans="1:25" ht="63.75" outlineLevel="1" x14ac:dyDescent="0.25">
      <c r="A111" s="60" t="s">
        <v>602</v>
      </c>
      <c r="B111" s="58" t="s">
        <v>503</v>
      </c>
      <c r="C111" s="59" t="s">
        <v>98</v>
      </c>
      <c r="D111" s="51">
        <v>0</v>
      </c>
      <c r="E111" s="51">
        <v>0</v>
      </c>
      <c r="F111" s="51">
        <v>0</v>
      </c>
      <c r="G111" s="51">
        <v>5</v>
      </c>
      <c r="H111" s="51">
        <v>0</v>
      </c>
      <c r="I111" s="62">
        <v>0</v>
      </c>
      <c r="J111" s="105">
        <f t="shared" si="15"/>
        <v>5</v>
      </c>
      <c r="K111" s="63">
        <v>0</v>
      </c>
      <c r="L111" s="51">
        <v>0</v>
      </c>
      <c r="M111" s="51">
        <v>0</v>
      </c>
      <c r="N111" s="51">
        <v>0</v>
      </c>
      <c r="O111" s="51">
        <v>0</v>
      </c>
      <c r="P111" s="62">
        <v>0</v>
      </c>
      <c r="Q111" s="105">
        <f t="shared" si="16"/>
        <v>0</v>
      </c>
      <c r="R111" s="92">
        <f t="shared" si="17"/>
        <v>5</v>
      </c>
      <c r="S111" s="84"/>
      <c r="T111" s="47"/>
      <c r="U111" s="19">
        <f t="shared" si="26"/>
        <v>0</v>
      </c>
      <c r="V111" s="19">
        <f t="shared" si="27"/>
        <v>0</v>
      </c>
      <c r="W111" s="19">
        <f t="shared" si="28"/>
        <v>0</v>
      </c>
      <c r="X111" s="19">
        <f t="shared" si="29"/>
        <v>0</v>
      </c>
      <c r="Y111" s="61"/>
    </row>
    <row r="112" spans="1:25" ht="63.75" outlineLevel="1" x14ac:dyDescent="0.25">
      <c r="A112" s="60" t="s">
        <v>603</v>
      </c>
      <c r="B112" s="58" t="s">
        <v>502</v>
      </c>
      <c r="C112" s="59" t="s">
        <v>98</v>
      </c>
      <c r="D112" s="51">
        <v>0</v>
      </c>
      <c r="E112" s="51">
        <v>11</v>
      </c>
      <c r="F112" s="51">
        <v>2</v>
      </c>
      <c r="G112" s="51">
        <v>0</v>
      </c>
      <c r="H112" s="51">
        <v>0</v>
      </c>
      <c r="I112" s="62">
        <v>0</v>
      </c>
      <c r="J112" s="105">
        <f t="shared" si="15"/>
        <v>13</v>
      </c>
      <c r="K112" s="63">
        <v>0</v>
      </c>
      <c r="L112" s="51">
        <v>0</v>
      </c>
      <c r="M112" s="51">
        <v>0</v>
      </c>
      <c r="N112" s="51">
        <v>0</v>
      </c>
      <c r="O112" s="51">
        <v>0</v>
      </c>
      <c r="P112" s="62">
        <v>0</v>
      </c>
      <c r="Q112" s="105">
        <f t="shared" si="16"/>
        <v>0</v>
      </c>
      <c r="R112" s="92">
        <f t="shared" si="17"/>
        <v>13</v>
      </c>
      <c r="S112" s="84"/>
      <c r="T112" s="47"/>
      <c r="U112" s="19">
        <f t="shared" si="26"/>
        <v>0</v>
      </c>
      <c r="V112" s="19">
        <f t="shared" si="27"/>
        <v>0</v>
      </c>
      <c r="W112" s="19">
        <f t="shared" si="28"/>
        <v>0</v>
      </c>
      <c r="X112" s="19">
        <f t="shared" si="29"/>
        <v>0</v>
      </c>
      <c r="Y112" s="61"/>
    </row>
    <row r="113" spans="1:25" ht="63.75" outlineLevel="1" x14ac:dyDescent="0.25">
      <c r="A113" s="60" t="s">
        <v>604</v>
      </c>
      <c r="B113" s="58" t="s">
        <v>504</v>
      </c>
      <c r="C113" s="59" t="s">
        <v>98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62">
        <v>4</v>
      </c>
      <c r="J113" s="105">
        <f t="shared" si="15"/>
        <v>4</v>
      </c>
      <c r="K113" s="63">
        <v>0</v>
      </c>
      <c r="L113" s="51">
        <v>0</v>
      </c>
      <c r="M113" s="51">
        <v>0</v>
      </c>
      <c r="N113" s="51">
        <v>0</v>
      </c>
      <c r="O113" s="51">
        <v>0</v>
      </c>
      <c r="P113" s="62">
        <v>0</v>
      </c>
      <c r="Q113" s="105">
        <f t="shared" si="16"/>
        <v>0</v>
      </c>
      <c r="R113" s="92">
        <f t="shared" si="17"/>
        <v>4</v>
      </c>
      <c r="S113" s="84"/>
      <c r="T113" s="47"/>
      <c r="U113" s="19">
        <f t="shared" si="26"/>
        <v>0</v>
      </c>
      <c r="V113" s="19">
        <f t="shared" si="27"/>
        <v>0</v>
      </c>
      <c r="W113" s="19">
        <f t="shared" si="28"/>
        <v>0</v>
      </c>
      <c r="X113" s="19">
        <f t="shared" si="29"/>
        <v>0</v>
      </c>
      <c r="Y113" s="61"/>
    </row>
    <row r="114" spans="1:25" ht="63.75" outlineLevel="1" x14ac:dyDescent="0.25">
      <c r="A114" s="60" t="s">
        <v>605</v>
      </c>
      <c r="B114" s="58" t="s">
        <v>505</v>
      </c>
      <c r="C114" s="59" t="s">
        <v>98</v>
      </c>
      <c r="D114" s="51">
        <v>0</v>
      </c>
      <c r="E114" s="51">
        <v>2</v>
      </c>
      <c r="F114" s="51">
        <v>0</v>
      </c>
      <c r="G114" s="51">
        <v>3</v>
      </c>
      <c r="H114" s="51">
        <v>0</v>
      </c>
      <c r="I114" s="62">
        <v>0</v>
      </c>
      <c r="J114" s="105">
        <f t="shared" ref="J114:J123" si="30">SUM(D114:I114)</f>
        <v>5</v>
      </c>
      <c r="K114" s="63">
        <v>0</v>
      </c>
      <c r="L114" s="51">
        <v>0</v>
      </c>
      <c r="M114" s="51">
        <v>0</v>
      </c>
      <c r="N114" s="51">
        <v>0</v>
      </c>
      <c r="O114" s="51">
        <v>0</v>
      </c>
      <c r="P114" s="62">
        <v>0</v>
      </c>
      <c r="Q114" s="105">
        <f t="shared" ref="Q114:Q123" si="31">SUM(K114:P114)</f>
        <v>0</v>
      </c>
      <c r="R114" s="92">
        <f t="shared" ref="R114:R123" si="32">J114+Q114</f>
        <v>5</v>
      </c>
      <c r="S114" s="84"/>
      <c r="T114" s="47"/>
      <c r="U114" s="19">
        <f t="shared" si="26"/>
        <v>0</v>
      </c>
      <c r="V114" s="19">
        <f t="shared" si="27"/>
        <v>0</v>
      </c>
      <c r="W114" s="19">
        <f t="shared" si="28"/>
        <v>0</v>
      </c>
      <c r="X114" s="19">
        <f t="shared" si="29"/>
        <v>0</v>
      </c>
      <c r="Y114" s="61"/>
    </row>
    <row r="115" spans="1:25" ht="63.75" outlineLevel="1" x14ac:dyDescent="0.25">
      <c r="A115" s="60" t="s">
        <v>606</v>
      </c>
      <c r="B115" s="58" t="s">
        <v>507</v>
      </c>
      <c r="C115" s="59" t="s">
        <v>98</v>
      </c>
      <c r="D115" s="51">
        <v>0</v>
      </c>
      <c r="E115" s="51">
        <v>0</v>
      </c>
      <c r="F115" s="51">
        <v>0</v>
      </c>
      <c r="G115" s="51">
        <v>0</v>
      </c>
      <c r="H115" s="51">
        <v>6</v>
      </c>
      <c r="I115" s="62">
        <v>0</v>
      </c>
      <c r="J115" s="105">
        <f t="shared" si="30"/>
        <v>6</v>
      </c>
      <c r="K115" s="63">
        <v>0</v>
      </c>
      <c r="L115" s="51">
        <v>0</v>
      </c>
      <c r="M115" s="51">
        <v>0</v>
      </c>
      <c r="N115" s="51">
        <v>0</v>
      </c>
      <c r="O115" s="51">
        <v>0</v>
      </c>
      <c r="P115" s="62">
        <v>0</v>
      </c>
      <c r="Q115" s="105">
        <f t="shared" si="31"/>
        <v>0</v>
      </c>
      <c r="R115" s="92">
        <f t="shared" si="32"/>
        <v>6</v>
      </c>
      <c r="S115" s="84"/>
      <c r="T115" s="47"/>
      <c r="U115" s="19">
        <f t="shared" si="26"/>
        <v>0</v>
      </c>
      <c r="V115" s="19">
        <f t="shared" si="27"/>
        <v>0</v>
      </c>
      <c r="W115" s="19">
        <f t="shared" si="28"/>
        <v>0</v>
      </c>
      <c r="X115" s="19">
        <f t="shared" si="29"/>
        <v>0</v>
      </c>
      <c r="Y115" s="61"/>
    </row>
    <row r="116" spans="1:25" s="75" customFormat="1" outlineLevel="1" x14ac:dyDescent="0.25">
      <c r="A116" s="67" t="s">
        <v>101</v>
      </c>
      <c r="B116" s="68" t="s">
        <v>542</v>
      </c>
      <c r="C116" s="69"/>
      <c r="D116" s="71"/>
      <c r="E116" s="71"/>
      <c r="F116" s="71"/>
      <c r="G116" s="71"/>
      <c r="H116" s="71"/>
      <c r="I116" s="97"/>
      <c r="J116" s="92"/>
      <c r="K116" s="112"/>
      <c r="L116" s="71"/>
      <c r="M116" s="71"/>
      <c r="N116" s="71"/>
      <c r="O116" s="71"/>
      <c r="P116" s="97"/>
      <c r="Q116" s="92"/>
      <c r="R116" s="92"/>
      <c r="S116" s="85"/>
      <c r="T116" s="76"/>
      <c r="U116" s="73"/>
      <c r="V116" s="73"/>
      <c r="W116" s="73"/>
      <c r="X116" s="73"/>
      <c r="Y116" s="77"/>
    </row>
    <row r="117" spans="1:25" ht="63.75" outlineLevel="1" x14ac:dyDescent="0.25">
      <c r="A117" s="60" t="s">
        <v>607</v>
      </c>
      <c r="B117" s="58" t="s">
        <v>488</v>
      </c>
      <c r="C117" s="59" t="s">
        <v>98</v>
      </c>
      <c r="D117" s="51">
        <v>17</v>
      </c>
      <c r="E117" s="51">
        <v>0</v>
      </c>
      <c r="F117" s="51">
        <v>0</v>
      </c>
      <c r="G117" s="51">
        <v>0</v>
      </c>
      <c r="H117" s="51">
        <v>0</v>
      </c>
      <c r="I117" s="62">
        <v>0</v>
      </c>
      <c r="J117" s="105">
        <f t="shared" si="30"/>
        <v>17</v>
      </c>
      <c r="K117" s="63">
        <v>7</v>
      </c>
      <c r="L117" s="51">
        <v>0</v>
      </c>
      <c r="M117" s="51">
        <v>0</v>
      </c>
      <c r="N117" s="51">
        <v>0</v>
      </c>
      <c r="O117" s="51">
        <v>0</v>
      </c>
      <c r="P117" s="62">
        <v>0</v>
      </c>
      <c r="Q117" s="105">
        <f t="shared" si="31"/>
        <v>7</v>
      </c>
      <c r="R117" s="92">
        <f t="shared" si="32"/>
        <v>24</v>
      </c>
      <c r="S117" s="84"/>
      <c r="T117" s="47"/>
      <c r="U117" s="19">
        <f>T117+S117</f>
        <v>0</v>
      </c>
      <c r="V117" s="19">
        <f>R117*S117</f>
        <v>0</v>
      </c>
      <c r="W117" s="19">
        <f>T117*R117</f>
        <v>0</v>
      </c>
      <c r="X117" s="19">
        <f>W117+V117</f>
        <v>0</v>
      </c>
      <c r="Y117" s="61"/>
    </row>
    <row r="118" spans="1:25" ht="63.75" outlineLevel="1" x14ac:dyDescent="0.25">
      <c r="A118" s="60" t="s">
        <v>608</v>
      </c>
      <c r="B118" s="58" t="s">
        <v>489</v>
      </c>
      <c r="C118" s="59" t="s">
        <v>98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62">
        <v>4</v>
      </c>
      <c r="J118" s="105">
        <f t="shared" si="30"/>
        <v>4</v>
      </c>
      <c r="K118" s="63">
        <v>0</v>
      </c>
      <c r="L118" s="51">
        <v>0</v>
      </c>
      <c r="M118" s="51">
        <v>0</v>
      </c>
      <c r="N118" s="51">
        <v>0</v>
      </c>
      <c r="O118" s="51">
        <v>0</v>
      </c>
      <c r="P118" s="62">
        <v>0</v>
      </c>
      <c r="Q118" s="105">
        <f t="shared" si="31"/>
        <v>0</v>
      </c>
      <c r="R118" s="92">
        <f t="shared" si="32"/>
        <v>4</v>
      </c>
      <c r="S118" s="84"/>
      <c r="T118" s="47"/>
      <c r="U118" s="19">
        <f t="shared" ref="U118:U123" si="33">T118+S118</f>
        <v>0</v>
      </c>
      <c r="V118" s="19">
        <f t="shared" ref="V118:V123" si="34">R118*S118</f>
        <v>0</v>
      </c>
      <c r="W118" s="19">
        <f t="shared" ref="W118:W123" si="35">T118*R118</f>
        <v>0</v>
      </c>
      <c r="X118" s="19">
        <f t="shared" ref="X118:X123" si="36">W118+V118</f>
        <v>0</v>
      </c>
      <c r="Y118" s="61"/>
    </row>
    <row r="119" spans="1:25" ht="63.75" outlineLevel="1" x14ac:dyDescent="0.25">
      <c r="A119" s="60" t="s">
        <v>609</v>
      </c>
      <c r="B119" s="58" t="s">
        <v>492</v>
      </c>
      <c r="C119" s="59" t="s">
        <v>98</v>
      </c>
      <c r="D119" s="51">
        <v>0</v>
      </c>
      <c r="E119" s="51">
        <v>0</v>
      </c>
      <c r="F119" s="51">
        <v>0</v>
      </c>
      <c r="G119" s="51">
        <v>8</v>
      </c>
      <c r="H119" s="51">
        <v>2</v>
      </c>
      <c r="I119" s="62">
        <v>0</v>
      </c>
      <c r="J119" s="105">
        <f t="shared" si="30"/>
        <v>10</v>
      </c>
      <c r="K119" s="63">
        <v>0</v>
      </c>
      <c r="L119" s="51">
        <v>0</v>
      </c>
      <c r="M119" s="51">
        <v>0</v>
      </c>
      <c r="N119" s="51">
        <v>8</v>
      </c>
      <c r="O119" s="51">
        <v>5</v>
      </c>
      <c r="P119" s="62">
        <v>0</v>
      </c>
      <c r="Q119" s="105">
        <f t="shared" si="31"/>
        <v>13</v>
      </c>
      <c r="R119" s="92">
        <f t="shared" si="32"/>
        <v>23</v>
      </c>
      <c r="S119" s="84"/>
      <c r="T119" s="47"/>
      <c r="U119" s="19">
        <f t="shared" si="33"/>
        <v>0</v>
      </c>
      <c r="V119" s="19">
        <f t="shared" si="34"/>
        <v>0</v>
      </c>
      <c r="W119" s="19">
        <f t="shared" si="35"/>
        <v>0</v>
      </c>
      <c r="X119" s="19">
        <f t="shared" si="36"/>
        <v>0</v>
      </c>
      <c r="Y119" s="61"/>
    </row>
    <row r="120" spans="1:25" ht="63.75" outlineLevel="1" x14ac:dyDescent="0.25">
      <c r="A120" s="60" t="s">
        <v>611</v>
      </c>
      <c r="B120" s="58" t="s">
        <v>495</v>
      </c>
      <c r="C120" s="59" t="s">
        <v>98</v>
      </c>
      <c r="D120" s="51">
        <v>0</v>
      </c>
      <c r="E120" s="51">
        <v>12</v>
      </c>
      <c r="F120" s="51">
        <v>0</v>
      </c>
      <c r="G120" s="51">
        <v>0</v>
      </c>
      <c r="H120" s="51">
        <v>0</v>
      </c>
      <c r="I120" s="62">
        <v>0</v>
      </c>
      <c r="J120" s="105">
        <f t="shared" si="30"/>
        <v>12</v>
      </c>
      <c r="K120" s="63">
        <v>0</v>
      </c>
      <c r="L120" s="51">
        <v>0</v>
      </c>
      <c r="M120" s="51">
        <v>0</v>
      </c>
      <c r="N120" s="51">
        <v>0</v>
      </c>
      <c r="O120" s="51">
        <v>0</v>
      </c>
      <c r="P120" s="62">
        <v>0</v>
      </c>
      <c r="Q120" s="105">
        <f t="shared" si="31"/>
        <v>0</v>
      </c>
      <c r="R120" s="92">
        <f t="shared" si="32"/>
        <v>12</v>
      </c>
      <c r="S120" s="84"/>
      <c r="T120" s="47"/>
      <c r="U120" s="19">
        <f t="shared" si="33"/>
        <v>0</v>
      </c>
      <c r="V120" s="19">
        <f t="shared" si="34"/>
        <v>0</v>
      </c>
      <c r="W120" s="19">
        <f t="shared" si="35"/>
        <v>0</v>
      </c>
      <c r="X120" s="19">
        <f t="shared" si="36"/>
        <v>0</v>
      </c>
      <c r="Y120" s="61"/>
    </row>
    <row r="121" spans="1:25" ht="63.75" outlineLevel="1" x14ac:dyDescent="0.25">
      <c r="A121" s="60" t="s">
        <v>612</v>
      </c>
      <c r="B121" s="58" t="s">
        <v>499</v>
      </c>
      <c r="C121" s="59" t="s">
        <v>98</v>
      </c>
      <c r="D121" s="51">
        <v>0</v>
      </c>
      <c r="E121" s="51">
        <v>0</v>
      </c>
      <c r="F121" s="51">
        <v>0</v>
      </c>
      <c r="G121" s="51">
        <v>11</v>
      </c>
      <c r="H121" s="51">
        <v>0</v>
      </c>
      <c r="I121" s="62">
        <v>0</v>
      </c>
      <c r="J121" s="105">
        <f t="shared" si="30"/>
        <v>11</v>
      </c>
      <c r="K121" s="63">
        <v>0</v>
      </c>
      <c r="L121" s="51">
        <v>0</v>
      </c>
      <c r="M121" s="51">
        <v>0</v>
      </c>
      <c r="N121" s="51">
        <v>0</v>
      </c>
      <c r="O121" s="51">
        <v>0</v>
      </c>
      <c r="P121" s="62">
        <v>0</v>
      </c>
      <c r="Q121" s="105">
        <f t="shared" si="31"/>
        <v>0</v>
      </c>
      <c r="R121" s="92">
        <f t="shared" si="32"/>
        <v>11</v>
      </c>
      <c r="S121" s="84"/>
      <c r="T121" s="47"/>
      <c r="U121" s="19">
        <f t="shared" si="33"/>
        <v>0</v>
      </c>
      <c r="V121" s="19">
        <f t="shared" si="34"/>
        <v>0</v>
      </c>
      <c r="W121" s="19">
        <f t="shared" si="35"/>
        <v>0</v>
      </c>
      <c r="X121" s="19">
        <f t="shared" si="36"/>
        <v>0</v>
      </c>
      <c r="Y121" s="61"/>
    </row>
    <row r="122" spans="1:25" ht="63.75" outlineLevel="1" x14ac:dyDescent="0.25">
      <c r="A122" s="60" t="s">
        <v>610</v>
      </c>
      <c r="B122" s="58" t="s">
        <v>500</v>
      </c>
      <c r="C122" s="59" t="s">
        <v>98</v>
      </c>
      <c r="D122" s="51">
        <v>0</v>
      </c>
      <c r="E122" s="51">
        <v>29</v>
      </c>
      <c r="F122" s="51">
        <v>0</v>
      </c>
      <c r="G122" s="51">
        <v>0</v>
      </c>
      <c r="H122" s="51">
        <v>0</v>
      </c>
      <c r="I122" s="62">
        <v>7</v>
      </c>
      <c r="J122" s="105">
        <f t="shared" si="30"/>
        <v>36</v>
      </c>
      <c r="K122" s="63">
        <v>0</v>
      </c>
      <c r="L122" s="51">
        <v>0</v>
      </c>
      <c r="M122" s="51">
        <v>0</v>
      </c>
      <c r="N122" s="51">
        <v>0</v>
      </c>
      <c r="O122" s="51">
        <v>0</v>
      </c>
      <c r="P122" s="62">
        <v>0</v>
      </c>
      <c r="Q122" s="105">
        <f t="shared" si="31"/>
        <v>0</v>
      </c>
      <c r="R122" s="92">
        <f t="shared" si="32"/>
        <v>36</v>
      </c>
      <c r="S122" s="84"/>
      <c r="T122" s="47"/>
      <c r="U122" s="19">
        <f t="shared" si="33"/>
        <v>0</v>
      </c>
      <c r="V122" s="19">
        <f t="shared" si="34"/>
        <v>0</v>
      </c>
      <c r="W122" s="19">
        <f t="shared" si="35"/>
        <v>0</v>
      </c>
      <c r="X122" s="19">
        <f t="shared" si="36"/>
        <v>0</v>
      </c>
      <c r="Y122" s="61"/>
    </row>
    <row r="123" spans="1:25" ht="64.5" outlineLevel="1" thickBot="1" x14ac:dyDescent="0.3">
      <c r="A123" s="60" t="s">
        <v>613</v>
      </c>
      <c r="B123" s="58" t="s">
        <v>506</v>
      </c>
      <c r="C123" s="59" t="s">
        <v>98</v>
      </c>
      <c r="D123" s="51">
        <v>0</v>
      </c>
      <c r="E123" s="51">
        <v>0</v>
      </c>
      <c r="F123" s="51">
        <v>0</v>
      </c>
      <c r="G123" s="51">
        <v>6</v>
      </c>
      <c r="H123" s="51">
        <v>0</v>
      </c>
      <c r="I123" s="62">
        <v>0</v>
      </c>
      <c r="J123" s="106">
        <f t="shared" si="30"/>
        <v>6</v>
      </c>
      <c r="K123" s="63">
        <v>0</v>
      </c>
      <c r="L123" s="51">
        <v>0</v>
      </c>
      <c r="M123" s="51">
        <v>0</v>
      </c>
      <c r="N123" s="51">
        <v>0</v>
      </c>
      <c r="O123" s="51">
        <v>0</v>
      </c>
      <c r="P123" s="62">
        <v>0</v>
      </c>
      <c r="Q123" s="106">
        <f t="shared" si="31"/>
        <v>0</v>
      </c>
      <c r="R123" s="93">
        <f t="shared" si="32"/>
        <v>6</v>
      </c>
      <c r="S123" s="84"/>
      <c r="T123" s="47"/>
      <c r="U123" s="19">
        <f t="shared" si="33"/>
        <v>0</v>
      </c>
      <c r="V123" s="19">
        <f t="shared" si="34"/>
        <v>0</v>
      </c>
      <c r="W123" s="19">
        <f t="shared" si="35"/>
        <v>0</v>
      </c>
      <c r="X123" s="19">
        <f t="shared" si="36"/>
        <v>0</v>
      </c>
      <c r="Y123" s="61"/>
    </row>
    <row r="124" spans="1:25" ht="27" customHeight="1" thickBot="1" x14ac:dyDescent="0.3">
      <c r="A124" s="9" t="s">
        <v>104</v>
      </c>
      <c r="B124" s="10" t="s">
        <v>105</v>
      </c>
      <c r="C124" s="11"/>
      <c r="D124" s="13"/>
      <c r="E124" s="13"/>
      <c r="F124" s="13"/>
      <c r="G124" s="13"/>
      <c r="H124" s="13"/>
      <c r="I124" s="13"/>
      <c r="J124" s="87"/>
      <c r="K124" s="13"/>
      <c r="L124" s="13"/>
      <c r="M124" s="13"/>
      <c r="N124" s="13"/>
      <c r="O124" s="13"/>
      <c r="P124" s="13"/>
      <c r="Q124" s="87"/>
      <c r="R124" s="88"/>
      <c r="S124" s="15"/>
      <c r="T124" s="15"/>
      <c r="U124" s="15"/>
      <c r="V124" s="14">
        <f>SUM(V125:V156)</f>
        <v>0</v>
      </c>
      <c r="W124" s="14">
        <f>SUM(W125:W156)</f>
        <v>0</v>
      </c>
      <c r="X124" s="14">
        <f>SUM(X125:X156)</f>
        <v>0</v>
      </c>
      <c r="Y124" s="49"/>
    </row>
    <row r="125" spans="1:25" ht="38.25" outlineLevel="1" x14ac:dyDescent="0.25">
      <c r="A125" s="16" t="s">
        <v>106</v>
      </c>
      <c r="B125" s="17" t="s">
        <v>107</v>
      </c>
      <c r="C125" s="18" t="s">
        <v>98</v>
      </c>
      <c r="D125" s="51">
        <v>0</v>
      </c>
      <c r="E125" s="51">
        <v>2</v>
      </c>
      <c r="F125" s="51">
        <v>0</v>
      </c>
      <c r="G125" s="51">
        <v>0</v>
      </c>
      <c r="H125" s="51">
        <v>0</v>
      </c>
      <c r="I125" s="62">
        <v>0</v>
      </c>
      <c r="J125" s="107">
        <f t="shared" ref="J125:J156" si="37">SUM(D125:I125)</f>
        <v>2</v>
      </c>
      <c r="K125" s="63">
        <v>0</v>
      </c>
      <c r="L125" s="51">
        <v>0</v>
      </c>
      <c r="M125" s="51">
        <v>0</v>
      </c>
      <c r="N125" s="51">
        <v>0</v>
      </c>
      <c r="O125" s="51">
        <v>0</v>
      </c>
      <c r="P125" s="62">
        <v>0</v>
      </c>
      <c r="Q125" s="107">
        <f t="shared" ref="Q125:Q156" si="38">SUM(K125:P125)</f>
        <v>0</v>
      </c>
      <c r="R125" s="94">
        <f t="shared" ref="R125:R156" si="39">J125+Q125</f>
        <v>2</v>
      </c>
      <c r="S125" s="84"/>
      <c r="T125" s="47"/>
      <c r="U125" s="19">
        <f t="shared" ref="U125:U156" si="40">T125+S125</f>
        <v>0</v>
      </c>
      <c r="V125" s="19">
        <f t="shared" ref="V125:V156" si="41">R125*S125</f>
        <v>0</v>
      </c>
      <c r="W125" s="19">
        <f t="shared" ref="W125:W156" si="42">T125*R125</f>
        <v>0</v>
      </c>
      <c r="X125" s="19">
        <f t="shared" ref="X125:X156" si="43">W125+V125</f>
        <v>0</v>
      </c>
      <c r="Y125" s="50"/>
    </row>
    <row r="126" spans="1:25" ht="38.25" outlineLevel="1" x14ac:dyDescent="0.25">
      <c r="A126" s="16" t="s">
        <v>108</v>
      </c>
      <c r="B126" s="17" t="s">
        <v>109</v>
      </c>
      <c r="C126" s="18" t="s">
        <v>98</v>
      </c>
      <c r="D126" s="51">
        <v>0</v>
      </c>
      <c r="E126" s="51">
        <v>0</v>
      </c>
      <c r="F126" s="51">
        <v>0</v>
      </c>
      <c r="G126" s="51">
        <v>0</v>
      </c>
      <c r="H126" s="51">
        <v>12</v>
      </c>
      <c r="I126" s="62">
        <v>0</v>
      </c>
      <c r="J126" s="105">
        <f t="shared" si="37"/>
        <v>12</v>
      </c>
      <c r="K126" s="63">
        <v>0</v>
      </c>
      <c r="L126" s="51">
        <v>0</v>
      </c>
      <c r="M126" s="51">
        <v>0</v>
      </c>
      <c r="N126" s="51">
        <v>0</v>
      </c>
      <c r="O126" s="51">
        <v>0</v>
      </c>
      <c r="P126" s="62">
        <v>6</v>
      </c>
      <c r="Q126" s="105">
        <f t="shared" si="38"/>
        <v>6</v>
      </c>
      <c r="R126" s="92">
        <f t="shared" si="39"/>
        <v>18</v>
      </c>
      <c r="S126" s="84"/>
      <c r="T126" s="47"/>
      <c r="U126" s="19">
        <f t="shared" si="40"/>
        <v>0</v>
      </c>
      <c r="V126" s="19">
        <f t="shared" si="41"/>
        <v>0</v>
      </c>
      <c r="W126" s="19">
        <f t="shared" si="42"/>
        <v>0</v>
      </c>
      <c r="X126" s="19">
        <f t="shared" si="43"/>
        <v>0</v>
      </c>
      <c r="Y126" s="50"/>
    </row>
    <row r="127" spans="1:25" ht="38.25" outlineLevel="1" x14ac:dyDescent="0.25">
      <c r="A127" s="16" t="s">
        <v>110</v>
      </c>
      <c r="B127" s="17" t="s">
        <v>111</v>
      </c>
      <c r="C127" s="18" t="s">
        <v>98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62">
        <v>2</v>
      </c>
      <c r="J127" s="105">
        <f t="shared" si="37"/>
        <v>2</v>
      </c>
      <c r="K127" s="63">
        <v>0</v>
      </c>
      <c r="L127" s="51">
        <v>0</v>
      </c>
      <c r="M127" s="51">
        <v>0</v>
      </c>
      <c r="N127" s="51">
        <v>0</v>
      </c>
      <c r="O127" s="51">
        <v>0</v>
      </c>
      <c r="P127" s="62">
        <v>0</v>
      </c>
      <c r="Q127" s="105">
        <f t="shared" si="38"/>
        <v>0</v>
      </c>
      <c r="R127" s="92">
        <f t="shared" si="39"/>
        <v>2</v>
      </c>
      <c r="S127" s="84"/>
      <c r="T127" s="47"/>
      <c r="U127" s="19">
        <f t="shared" si="40"/>
        <v>0</v>
      </c>
      <c r="V127" s="19">
        <f t="shared" si="41"/>
        <v>0</v>
      </c>
      <c r="W127" s="19">
        <f t="shared" si="42"/>
        <v>0</v>
      </c>
      <c r="X127" s="19">
        <f t="shared" si="43"/>
        <v>0</v>
      </c>
      <c r="Y127" s="50"/>
    </row>
    <row r="128" spans="1:25" ht="38.25" outlineLevel="1" x14ac:dyDescent="0.25">
      <c r="A128" s="16" t="s">
        <v>112</v>
      </c>
      <c r="B128" s="17" t="s">
        <v>113</v>
      </c>
      <c r="C128" s="18" t="s">
        <v>98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62">
        <v>0</v>
      </c>
      <c r="J128" s="105">
        <f t="shared" si="37"/>
        <v>0</v>
      </c>
      <c r="K128" s="63">
        <v>0</v>
      </c>
      <c r="L128" s="51">
        <v>0</v>
      </c>
      <c r="M128" s="51">
        <v>0</v>
      </c>
      <c r="N128" s="51">
        <v>2</v>
      </c>
      <c r="O128" s="51">
        <v>2</v>
      </c>
      <c r="P128" s="62">
        <v>0</v>
      </c>
      <c r="Q128" s="105">
        <f t="shared" si="38"/>
        <v>4</v>
      </c>
      <c r="R128" s="92">
        <f t="shared" si="39"/>
        <v>4</v>
      </c>
      <c r="S128" s="84"/>
      <c r="T128" s="47"/>
      <c r="U128" s="19">
        <f t="shared" si="40"/>
        <v>0</v>
      </c>
      <c r="V128" s="19">
        <f t="shared" si="41"/>
        <v>0</v>
      </c>
      <c r="W128" s="19">
        <f t="shared" si="42"/>
        <v>0</v>
      </c>
      <c r="X128" s="19">
        <f t="shared" si="43"/>
        <v>0</v>
      </c>
      <c r="Y128" s="50"/>
    </row>
    <row r="129" spans="1:25" ht="38.25" outlineLevel="1" x14ac:dyDescent="0.25">
      <c r="A129" s="16" t="s">
        <v>114</v>
      </c>
      <c r="B129" s="17" t="s">
        <v>115</v>
      </c>
      <c r="C129" s="18" t="s">
        <v>98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62">
        <v>0</v>
      </c>
      <c r="J129" s="105">
        <f t="shared" si="37"/>
        <v>0</v>
      </c>
      <c r="K129" s="63">
        <v>0</v>
      </c>
      <c r="L129" s="51">
        <v>0</v>
      </c>
      <c r="M129" s="51">
        <v>2</v>
      </c>
      <c r="N129" s="51">
        <v>0</v>
      </c>
      <c r="O129" s="51">
        <v>0</v>
      </c>
      <c r="P129" s="62">
        <v>0</v>
      </c>
      <c r="Q129" s="105">
        <f t="shared" si="38"/>
        <v>2</v>
      </c>
      <c r="R129" s="92">
        <f t="shared" si="39"/>
        <v>2</v>
      </c>
      <c r="S129" s="84"/>
      <c r="T129" s="47"/>
      <c r="U129" s="19">
        <f t="shared" si="40"/>
        <v>0</v>
      </c>
      <c r="V129" s="19">
        <f t="shared" si="41"/>
        <v>0</v>
      </c>
      <c r="W129" s="19">
        <f t="shared" si="42"/>
        <v>0</v>
      </c>
      <c r="X129" s="19">
        <f t="shared" si="43"/>
        <v>0</v>
      </c>
      <c r="Y129" s="50"/>
    </row>
    <row r="130" spans="1:25" ht="38.25" outlineLevel="1" x14ac:dyDescent="0.25">
      <c r="A130" s="16" t="s">
        <v>116</v>
      </c>
      <c r="B130" s="17" t="s">
        <v>117</v>
      </c>
      <c r="C130" s="18" t="s">
        <v>98</v>
      </c>
      <c r="D130" s="51">
        <v>0</v>
      </c>
      <c r="E130" s="51">
        <v>0</v>
      </c>
      <c r="F130" s="51">
        <v>1</v>
      </c>
      <c r="G130" s="51">
        <v>0</v>
      </c>
      <c r="H130" s="51">
        <v>0</v>
      </c>
      <c r="I130" s="62">
        <v>0</v>
      </c>
      <c r="J130" s="105">
        <f t="shared" si="37"/>
        <v>1</v>
      </c>
      <c r="K130" s="63">
        <v>0</v>
      </c>
      <c r="L130" s="51">
        <v>0</v>
      </c>
      <c r="M130" s="51">
        <v>0</v>
      </c>
      <c r="N130" s="51">
        <v>0</v>
      </c>
      <c r="O130" s="51">
        <v>0</v>
      </c>
      <c r="P130" s="62">
        <v>0</v>
      </c>
      <c r="Q130" s="105">
        <f t="shared" si="38"/>
        <v>0</v>
      </c>
      <c r="R130" s="92">
        <f t="shared" si="39"/>
        <v>1</v>
      </c>
      <c r="S130" s="84"/>
      <c r="T130" s="47"/>
      <c r="U130" s="19">
        <f t="shared" si="40"/>
        <v>0</v>
      </c>
      <c r="V130" s="19">
        <f t="shared" si="41"/>
        <v>0</v>
      </c>
      <c r="W130" s="19">
        <f t="shared" si="42"/>
        <v>0</v>
      </c>
      <c r="X130" s="19">
        <f t="shared" si="43"/>
        <v>0</v>
      </c>
      <c r="Y130" s="50"/>
    </row>
    <row r="131" spans="1:25" ht="38.25" outlineLevel="1" x14ac:dyDescent="0.25">
      <c r="A131" s="16"/>
      <c r="B131" s="17" t="s">
        <v>515</v>
      </c>
      <c r="C131" s="18" t="s">
        <v>98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62">
        <v>0</v>
      </c>
      <c r="J131" s="105">
        <f t="shared" si="37"/>
        <v>0</v>
      </c>
      <c r="K131" s="63">
        <v>0</v>
      </c>
      <c r="L131" s="51">
        <v>0</v>
      </c>
      <c r="M131" s="51">
        <v>0</v>
      </c>
      <c r="N131" s="51">
        <v>0</v>
      </c>
      <c r="O131" s="51">
        <v>0</v>
      </c>
      <c r="P131" s="62">
        <v>2</v>
      </c>
      <c r="Q131" s="105">
        <f t="shared" si="38"/>
        <v>2</v>
      </c>
      <c r="R131" s="92">
        <f t="shared" si="39"/>
        <v>2</v>
      </c>
      <c r="S131" s="84"/>
      <c r="T131" s="47"/>
      <c r="U131" s="19"/>
      <c r="V131" s="19"/>
      <c r="W131" s="19"/>
      <c r="X131" s="19"/>
      <c r="Y131" s="50"/>
    </row>
    <row r="132" spans="1:25" ht="38.25" outlineLevel="1" x14ac:dyDescent="0.25">
      <c r="A132" s="16" t="s">
        <v>118</v>
      </c>
      <c r="B132" s="17" t="s">
        <v>119</v>
      </c>
      <c r="C132" s="18" t="s">
        <v>98</v>
      </c>
      <c r="D132" s="51">
        <v>0</v>
      </c>
      <c r="E132" s="51">
        <v>0</v>
      </c>
      <c r="F132" s="51">
        <v>0</v>
      </c>
      <c r="G132" s="51">
        <v>0</v>
      </c>
      <c r="H132" s="51">
        <v>4</v>
      </c>
      <c r="I132" s="62">
        <v>0</v>
      </c>
      <c r="J132" s="105">
        <f t="shared" si="37"/>
        <v>4</v>
      </c>
      <c r="K132" s="63">
        <v>0</v>
      </c>
      <c r="L132" s="51">
        <v>0</v>
      </c>
      <c r="M132" s="51">
        <v>0</v>
      </c>
      <c r="N132" s="51">
        <v>0</v>
      </c>
      <c r="O132" s="51">
        <v>0</v>
      </c>
      <c r="P132" s="62">
        <v>0</v>
      </c>
      <c r="Q132" s="105">
        <f t="shared" si="38"/>
        <v>0</v>
      </c>
      <c r="R132" s="92">
        <f t="shared" si="39"/>
        <v>4</v>
      </c>
      <c r="S132" s="84"/>
      <c r="T132" s="47"/>
      <c r="U132" s="19">
        <f t="shared" si="40"/>
        <v>0</v>
      </c>
      <c r="V132" s="19">
        <f t="shared" si="41"/>
        <v>0</v>
      </c>
      <c r="W132" s="19">
        <f t="shared" si="42"/>
        <v>0</v>
      </c>
      <c r="X132" s="19">
        <f t="shared" si="43"/>
        <v>0</v>
      </c>
      <c r="Y132" s="50"/>
    </row>
    <row r="133" spans="1:25" ht="38.25" outlineLevel="1" x14ac:dyDescent="0.25">
      <c r="A133" s="16" t="s">
        <v>120</v>
      </c>
      <c r="B133" s="17" t="s">
        <v>121</v>
      </c>
      <c r="C133" s="18" t="s">
        <v>98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62">
        <v>0</v>
      </c>
      <c r="J133" s="105">
        <f t="shared" si="37"/>
        <v>0</v>
      </c>
      <c r="K133" s="63">
        <v>0</v>
      </c>
      <c r="L133" s="51">
        <v>4</v>
      </c>
      <c r="M133" s="51">
        <v>0</v>
      </c>
      <c r="N133" s="51">
        <v>0</v>
      </c>
      <c r="O133" s="51">
        <v>0</v>
      </c>
      <c r="P133" s="62">
        <v>0</v>
      </c>
      <c r="Q133" s="105">
        <f t="shared" si="38"/>
        <v>4</v>
      </c>
      <c r="R133" s="92">
        <f t="shared" si="39"/>
        <v>4</v>
      </c>
      <c r="S133" s="84"/>
      <c r="T133" s="47"/>
      <c r="U133" s="19">
        <f t="shared" si="40"/>
        <v>0</v>
      </c>
      <c r="V133" s="19">
        <f t="shared" si="41"/>
        <v>0</v>
      </c>
      <c r="W133" s="19">
        <f t="shared" si="42"/>
        <v>0</v>
      </c>
      <c r="X133" s="19">
        <f t="shared" si="43"/>
        <v>0</v>
      </c>
      <c r="Y133" s="50"/>
    </row>
    <row r="134" spans="1:25" ht="38.25" outlineLevel="1" x14ac:dyDescent="0.25">
      <c r="A134" s="16" t="s">
        <v>122</v>
      </c>
      <c r="B134" s="17" t="s">
        <v>123</v>
      </c>
      <c r="C134" s="18" t="s">
        <v>98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62">
        <v>0</v>
      </c>
      <c r="J134" s="105">
        <f t="shared" si="37"/>
        <v>0</v>
      </c>
      <c r="K134" s="63">
        <v>0</v>
      </c>
      <c r="L134" s="51">
        <v>0</v>
      </c>
      <c r="M134" s="51">
        <v>0</v>
      </c>
      <c r="N134" s="51">
        <v>4</v>
      </c>
      <c r="O134" s="51">
        <v>0</v>
      </c>
      <c r="P134" s="62">
        <v>0</v>
      </c>
      <c r="Q134" s="105">
        <f t="shared" si="38"/>
        <v>4</v>
      </c>
      <c r="R134" s="92">
        <f t="shared" si="39"/>
        <v>4</v>
      </c>
      <c r="S134" s="84"/>
      <c r="T134" s="47"/>
      <c r="U134" s="19">
        <f t="shared" si="40"/>
        <v>0</v>
      </c>
      <c r="V134" s="19">
        <f t="shared" si="41"/>
        <v>0</v>
      </c>
      <c r="W134" s="19">
        <f t="shared" si="42"/>
        <v>0</v>
      </c>
      <c r="X134" s="19">
        <f t="shared" si="43"/>
        <v>0</v>
      </c>
      <c r="Y134" s="50"/>
    </row>
    <row r="135" spans="1:25" ht="38.25" outlineLevel="1" x14ac:dyDescent="0.25">
      <c r="A135" s="16" t="s">
        <v>124</v>
      </c>
      <c r="B135" s="17" t="s">
        <v>125</v>
      </c>
      <c r="C135" s="18" t="s">
        <v>98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62">
        <v>0</v>
      </c>
      <c r="J135" s="105">
        <f t="shared" si="37"/>
        <v>0</v>
      </c>
      <c r="K135" s="63">
        <v>0</v>
      </c>
      <c r="L135" s="51">
        <v>0</v>
      </c>
      <c r="M135" s="51">
        <v>0</v>
      </c>
      <c r="N135" s="51">
        <v>0</v>
      </c>
      <c r="O135" s="51">
        <v>4</v>
      </c>
      <c r="P135" s="62">
        <v>0</v>
      </c>
      <c r="Q135" s="105">
        <f t="shared" si="38"/>
        <v>4</v>
      </c>
      <c r="R135" s="92">
        <f t="shared" si="39"/>
        <v>4</v>
      </c>
      <c r="S135" s="84"/>
      <c r="T135" s="47"/>
      <c r="U135" s="19">
        <f t="shared" si="40"/>
        <v>0</v>
      </c>
      <c r="V135" s="19">
        <f t="shared" si="41"/>
        <v>0</v>
      </c>
      <c r="W135" s="19">
        <f t="shared" si="42"/>
        <v>0</v>
      </c>
      <c r="X135" s="19">
        <f t="shared" si="43"/>
        <v>0</v>
      </c>
      <c r="Y135" s="50"/>
    </row>
    <row r="136" spans="1:25" ht="38.25" outlineLevel="1" x14ac:dyDescent="0.25">
      <c r="A136" s="16" t="s">
        <v>126</v>
      </c>
      <c r="B136" s="17" t="s">
        <v>127</v>
      </c>
      <c r="C136" s="18" t="s">
        <v>98</v>
      </c>
      <c r="D136" s="51">
        <v>0</v>
      </c>
      <c r="E136" s="51">
        <v>0</v>
      </c>
      <c r="F136" s="51">
        <v>1</v>
      </c>
      <c r="G136" s="51">
        <v>0</v>
      </c>
      <c r="H136" s="51">
        <v>0</v>
      </c>
      <c r="I136" s="62">
        <v>0</v>
      </c>
      <c r="J136" s="105">
        <f t="shared" si="37"/>
        <v>1</v>
      </c>
      <c r="K136" s="63">
        <v>0</v>
      </c>
      <c r="L136" s="51">
        <v>0</v>
      </c>
      <c r="M136" s="51">
        <v>0</v>
      </c>
      <c r="N136" s="51">
        <v>0</v>
      </c>
      <c r="O136" s="51">
        <v>0</v>
      </c>
      <c r="P136" s="62">
        <v>0</v>
      </c>
      <c r="Q136" s="105">
        <f t="shared" si="38"/>
        <v>0</v>
      </c>
      <c r="R136" s="92">
        <f t="shared" si="39"/>
        <v>1</v>
      </c>
      <c r="S136" s="84"/>
      <c r="T136" s="47"/>
      <c r="U136" s="19">
        <f t="shared" si="40"/>
        <v>0</v>
      </c>
      <c r="V136" s="19">
        <f t="shared" si="41"/>
        <v>0</v>
      </c>
      <c r="W136" s="19">
        <f t="shared" si="42"/>
        <v>0</v>
      </c>
      <c r="X136" s="19">
        <f t="shared" si="43"/>
        <v>0</v>
      </c>
      <c r="Y136" s="50"/>
    </row>
    <row r="137" spans="1:25" ht="38.25" outlineLevel="1" x14ac:dyDescent="0.25">
      <c r="A137" s="16" t="s">
        <v>128</v>
      </c>
      <c r="B137" s="17" t="s">
        <v>129</v>
      </c>
      <c r="C137" s="18" t="s">
        <v>98</v>
      </c>
      <c r="D137" s="51">
        <v>0</v>
      </c>
      <c r="E137" s="51">
        <v>0</v>
      </c>
      <c r="F137" s="51">
        <v>0</v>
      </c>
      <c r="G137" s="51">
        <v>0</v>
      </c>
      <c r="H137" s="51">
        <v>1</v>
      </c>
      <c r="I137" s="62">
        <v>0</v>
      </c>
      <c r="J137" s="105">
        <f t="shared" si="37"/>
        <v>1</v>
      </c>
      <c r="K137" s="63">
        <v>0</v>
      </c>
      <c r="L137" s="51">
        <v>0</v>
      </c>
      <c r="M137" s="51">
        <v>0</v>
      </c>
      <c r="N137" s="51">
        <v>0</v>
      </c>
      <c r="O137" s="51">
        <v>0</v>
      </c>
      <c r="P137" s="62">
        <v>0</v>
      </c>
      <c r="Q137" s="105">
        <f t="shared" si="38"/>
        <v>0</v>
      </c>
      <c r="R137" s="92">
        <f t="shared" si="39"/>
        <v>1</v>
      </c>
      <c r="S137" s="84"/>
      <c r="T137" s="47"/>
      <c r="U137" s="19">
        <f t="shared" si="40"/>
        <v>0</v>
      </c>
      <c r="V137" s="19">
        <f t="shared" si="41"/>
        <v>0</v>
      </c>
      <c r="W137" s="19">
        <f t="shared" si="42"/>
        <v>0</v>
      </c>
      <c r="X137" s="19">
        <f t="shared" si="43"/>
        <v>0</v>
      </c>
      <c r="Y137" s="50"/>
    </row>
    <row r="138" spans="1:25" ht="38.25" outlineLevel="1" x14ac:dyDescent="0.25">
      <c r="A138" s="16" t="s">
        <v>130</v>
      </c>
      <c r="B138" s="17" t="s">
        <v>131</v>
      </c>
      <c r="C138" s="18" t="s">
        <v>98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62">
        <v>0</v>
      </c>
      <c r="J138" s="105">
        <f t="shared" si="37"/>
        <v>0</v>
      </c>
      <c r="K138" s="63">
        <v>0</v>
      </c>
      <c r="L138" s="51">
        <v>2</v>
      </c>
      <c r="M138" s="51">
        <v>0</v>
      </c>
      <c r="N138" s="51">
        <v>0</v>
      </c>
      <c r="O138" s="51">
        <v>0</v>
      </c>
      <c r="P138" s="62">
        <v>0</v>
      </c>
      <c r="Q138" s="105">
        <f t="shared" si="38"/>
        <v>2</v>
      </c>
      <c r="R138" s="92">
        <f t="shared" si="39"/>
        <v>2</v>
      </c>
      <c r="S138" s="84"/>
      <c r="T138" s="47"/>
      <c r="U138" s="19">
        <f t="shared" si="40"/>
        <v>0</v>
      </c>
      <c r="V138" s="19">
        <f t="shared" si="41"/>
        <v>0</v>
      </c>
      <c r="W138" s="19">
        <f t="shared" si="42"/>
        <v>0</v>
      </c>
      <c r="X138" s="19">
        <f t="shared" si="43"/>
        <v>0</v>
      </c>
      <c r="Y138" s="50"/>
    </row>
    <row r="139" spans="1:25" ht="38.25" outlineLevel="1" x14ac:dyDescent="0.25">
      <c r="A139" s="16" t="s">
        <v>132</v>
      </c>
      <c r="B139" s="17" t="s">
        <v>133</v>
      </c>
      <c r="C139" s="18" t="s">
        <v>98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62">
        <v>0</v>
      </c>
      <c r="J139" s="105">
        <f t="shared" si="37"/>
        <v>0</v>
      </c>
      <c r="K139" s="63">
        <v>0</v>
      </c>
      <c r="L139" s="51">
        <v>0</v>
      </c>
      <c r="M139" s="51">
        <v>0</v>
      </c>
      <c r="N139" s="51">
        <v>2</v>
      </c>
      <c r="O139" s="51">
        <v>2</v>
      </c>
      <c r="P139" s="62">
        <v>0</v>
      </c>
      <c r="Q139" s="105">
        <f t="shared" si="38"/>
        <v>4</v>
      </c>
      <c r="R139" s="92">
        <f t="shared" si="39"/>
        <v>4</v>
      </c>
      <c r="S139" s="84"/>
      <c r="T139" s="47"/>
      <c r="U139" s="19">
        <f t="shared" si="40"/>
        <v>0</v>
      </c>
      <c r="V139" s="19">
        <f t="shared" si="41"/>
        <v>0</v>
      </c>
      <c r="W139" s="19">
        <f t="shared" si="42"/>
        <v>0</v>
      </c>
      <c r="X139" s="19">
        <f t="shared" si="43"/>
        <v>0</v>
      </c>
      <c r="Y139" s="50"/>
    </row>
    <row r="140" spans="1:25" ht="38.25" outlineLevel="1" x14ac:dyDescent="0.25">
      <c r="A140" s="16" t="s">
        <v>134</v>
      </c>
      <c r="B140" s="17" t="s">
        <v>516</v>
      </c>
      <c r="C140" s="18" t="s">
        <v>98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62">
        <v>0</v>
      </c>
      <c r="J140" s="105">
        <f t="shared" si="37"/>
        <v>0</v>
      </c>
      <c r="K140" s="63">
        <v>0</v>
      </c>
      <c r="L140" s="51">
        <v>0</v>
      </c>
      <c r="M140" s="51">
        <v>0</v>
      </c>
      <c r="N140" s="51">
        <v>0</v>
      </c>
      <c r="O140" s="51">
        <v>0</v>
      </c>
      <c r="P140" s="62">
        <v>1</v>
      </c>
      <c r="Q140" s="105">
        <f t="shared" si="38"/>
        <v>1</v>
      </c>
      <c r="R140" s="92">
        <f t="shared" si="39"/>
        <v>1</v>
      </c>
      <c r="S140" s="84"/>
      <c r="T140" s="47"/>
      <c r="U140" s="19">
        <f t="shared" si="40"/>
        <v>0</v>
      </c>
      <c r="V140" s="19">
        <f t="shared" si="41"/>
        <v>0</v>
      </c>
      <c r="W140" s="19">
        <f t="shared" si="42"/>
        <v>0</v>
      </c>
      <c r="X140" s="19">
        <f t="shared" si="43"/>
        <v>0</v>
      </c>
      <c r="Y140" s="50"/>
    </row>
    <row r="141" spans="1:25" ht="38.25" outlineLevel="1" x14ac:dyDescent="0.25">
      <c r="A141" s="16" t="s">
        <v>135</v>
      </c>
      <c r="B141" s="17" t="s">
        <v>136</v>
      </c>
      <c r="C141" s="18" t="s">
        <v>98</v>
      </c>
      <c r="D141" s="51">
        <v>0</v>
      </c>
      <c r="E141" s="51">
        <v>0</v>
      </c>
      <c r="F141" s="51">
        <v>1</v>
      </c>
      <c r="G141" s="51">
        <v>0</v>
      </c>
      <c r="H141" s="51">
        <v>0</v>
      </c>
      <c r="I141" s="62">
        <v>0</v>
      </c>
      <c r="J141" s="105">
        <f t="shared" si="37"/>
        <v>1</v>
      </c>
      <c r="K141" s="63">
        <v>0</v>
      </c>
      <c r="L141" s="51">
        <v>0</v>
      </c>
      <c r="M141" s="51">
        <v>0</v>
      </c>
      <c r="N141" s="51">
        <v>0</v>
      </c>
      <c r="O141" s="51">
        <v>0</v>
      </c>
      <c r="P141" s="62">
        <v>0</v>
      </c>
      <c r="Q141" s="105">
        <f t="shared" si="38"/>
        <v>0</v>
      </c>
      <c r="R141" s="92">
        <f t="shared" si="39"/>
        <v>1</v>
      </c>
      <c r="S141" s="84"/>
      <c r="T141" s="47"/>
      <c r="U141" s="19">
        <f t="shared" si="40"/>
        <v>0</v>
      </c>
      <c r="V141" s="19">
        <f t="shared" si="41"/>
        <v>0</v>
      </c>
      <c r="W141" s="19">
        <f t="shared" si="42"/>
        <v>0</v>
      </c>
      <c r="X141" s="19">
        <f t="shared" si="43"/>
        <v>0</v>
      </c>
      <c r="Y141" s="50"/>
    </row>
    <row r="142" spans="1:25" ht="38.25" outlineLevel="1" x14ac:dyDescent="0.25">
      <c r="A142" s="16" t="s">
        <v>137</v>
      </c>
      <c r="B142" s="17" t="s">
        <v>138</v>
      </c>
      <c r="C142" s="18" t="s">
        <v>98</v>
      </c>
      <c r="D142" s="51">
        <v>0</v>
      </c>
      <c r="E142" s="51">
        <v>0</v>
      </c>
      <c r="F142" s="51">
        <v>0</v>
      </c>
      <c r="G142" s="51">
        <v>0</v>
      </c>
      <c r="H142" s="51">
        <v>3</v>
      </c>
      <c r="I142" s="62">
        <v>0</v>
      </c>
      <c r="J142" s="105">
        <f t="shared" si="37"/>
        <v>3</v>
      </c>
      <c r="K142" s="63">
        <v>0</v>
      </c>
      <c r="L142" s="51">
        <v>0</v>
      </c>
      <c r="M142" s="51">
        <v>0</v>
      </c>
      <c r="N142" s="51">
        <v>0</v>
      </c>
      <c r="O142" s="51">
        <v>0</v>
      </c>
      <c r="P142" s="62">
        <v>0</v>
      </c>
      <c r="Q142" s="105">
        <f t="shared" si="38"/>
        <v>0</v>
      </c>
      <c r="R142" s="92">
        <f t="shared" si="39"/>
        <v>3</v>
      </c>
      <c r="S142" s="84"/>
      <c r="T142" s="47"/>
      <c r="U142" s="19">
        <f t="shared" si="40"/>
        <v>0</v>
      </c>
      <c r="V142" s="19">
        <f t="shared" si="41"/>
        <v>0</v>
      </c>
      <c r="W142" s="19">
        <f t="shared" si="42"/>
        <v>0</v>
      </c>
      <c r="X142" s="19">
        <f t="shared" si="43"/>
        <v>0</v>
      </c>
      <c r="Y142" s="50"/>
    </row>
    <row r="143" spans="1:25" ht="38.25" outlineLevel="1" x14ac:dyDescent="0.25">
      <c r="A143" s="16" t="s">
        <v>139</v>
      </c>
      <c r="B143" s="17" t="s">
        <v>140</v>
      </c>
      <c r="C143" s="18" t="s">
        <v>98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62">
        <v>0</v>
      </c>
      <c r="J143" s="105">
        <f t="shared" si="37"/>
        <v>0</v>
      </c>
      <c r="K143" s="63">
        <v>0</v>
      </c>
      <c r="L143" s="51">
        <v>4</v>
      </c>
      <c r="M143" s="51">
        <v>0</v>
      </c>
      <c r="N143" s="51">
        <v>0</v>
      </c>
      <c r="O143" s="51">
        <v>0</v>
      </c>
      <c r="P143" s="62">
        <v>0</v>
      </c>
      <c r="Q143" s="105">
        <f t="shared" si="38"/>
        <v>4</v>
      </c>
      <c r="R143" s="92">
        <f t="shared" si="39"/>
        <v>4</v>
      </c>
      <c r="S143" s="84"/>
      <c r="T143" s="47"/>
      <c r="U143" s="19">
        <f t="shared" si="40"/>
        <v>0</v>
      </c>
      <c r="V143" s="19">
        <f t="shared" si="41"/>
        <v>0</v>
      </c>
      <c r="W143" s="19">
        <f t="shared" si="42"/>
        <v>0</v>
      </c>
      <c r="X143" s="19">
        <f t="shared" si="43"/>
        <v>0</v>
      </c>
      <c r="Y143" s="50"/>
    </row>
    <row r="144" spans="1:25" ht="38.25" outlineLevel="1" x14ac:dyDescent="0.25">
      <c r="A144" s="16" t="s">
        <v>141</v>
      </c>
      <c r="B144" s="17" t="s">
        <v>142</v>
      </c>
      <c r="C144" s="18" t="s">
        <v>98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62">
        <v>0</v>
      </c>
      <c r="J144" s="105">
        <f t="shared" si="37"/>
        <v>0</v>
      </c>
      <c r="K144" s="63">
        <v>0</v>
      </c>
      <c r="L144" s="51">
        <v>0</v>
      </c>
      <c r="M144" s="51">
        <v>0</v>
      </c>
      <c r="N144" s="51">
        <v>4</v>
      </c>
      <c r="O144" s="51">
        <v>4</v>
      </c>
      <c r="P144" s="62">
        <v>0</v>
      </c>
      <c r="Q144" s="105">
        <f t="shared" si="38"/>
        <v>8</v>
      </c>
      <c r="R144" s="92">
        <f t="shared" si="39"/>
        <v>8</v>
      </c>
      <c r="S144" s="84"/>
      <c r="T144" s="47"/>
      <c r="U144" s="19">
        <f t="shared" si="40"/>
        <v>0</v>
      </c>
      <c r="V144" s="19">
        <f t="shared" si="41"/>
        <v>0</v>
      </c>
      <c r="W144" s="19">
        <f t="shared" si="42"/>
        <v>0</v>
      </c>
      <c r="X144" s="19">
        <f t="shared" si="43"/>
        <v>0</v>
      </c>
      <c r="Y144" s="50"/>
    </row>
    <row r="145" spans="1:25" ht="38.25" outlineLevel="1" x14ac:dyDescent="0.25">
      <c r="A145" s="16" t="s">
        <v>143</v>
      </c>
      <c r="B145" s="17" t="s">
        <v>517</v>
      </c>
      <c r="C145" s="18" t="s">
        <v>98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62">
        <v>0</v>
      </c>
      <c r="J145" s="105">
        <f t="shared" si="37"/>
        <v>0</v>
      </c>
      <c r="K145" s="63">
        <v>0</v>
      </c>
      <c r="L145" s="51">
        <v>0</v>
      </c>
      <c r="M145" s="51">
        <v>0</v>
      </c>
      <c r="N145" s="51">
        <v>0</v>
      </c>
      <c r="O145" s="51">
        <v>0</v>
      </c>
      <c r="P145" s="62">
        <v>4</v>
      </c>
      <c r="Q145" s="105">
        <f t="shared" si="38"/>
        <v>4</v>
      </c>
      <c r="R145" s="92">
        <f t="shared" si="39"/>
        <v>4</v>
      </c>
      <c r="S145" s="84"/>
      <c r="T145" s="47"/>
      <c r="U145" s="19">
        <f t="shared" si="40"/>
        <v>0</v>
      </c>
      <c r="V145" s="19">
        <f t="shared" si="41"/>
        <v>0</v>
      </c>
      <c r="W145" s="19">
        <f t="shared" si="42"/>
        <v>0</v>
      </c>
      <c r="X145" s="19">
        <f t="shared" si="43"/>
        <v>0</v>
      </c>
      <c r="Y145" s="50"/>
    </row>
    <row r="146" spans="1:25" ht="38.25" outlineLevel="1" x14ac:dyDescent="0.25">
      <c r="A146" s="16" t="s">
        <v>144</v>
      </c>
      <c r="B146" s="17" t="s">
        <v>145</v>
      </c>
      <c r="C146" s="18" t="s">
        <v>98</v>
      </c>
      <c r="D146" s="51">
        <v>0</v>
      </c>
      <c r="E146" s="51">
        <v>11</v>
      </c>
      <c r="F146" s="51">
        <v>2</v>
      </c>
      <c r="G146" s="51">
        <v>0</v>
      </c>
      <c r="H146" s="51">
        <v>0</v>
      </c>
      <c r="I146" s="62">
        <v>0</v>
      </c>
      <c r="J146" s="105">
        <f t="shared" si="37"/>
        <v>13</v>
      </c>
      <c r="K146" s="63">
        <v>0</v>
      </c>
      <c r="L146" s="51">
        <v>0</v>
      </c>
      <c r="M146" s="51">
        <v>0</v>
      </c>
      <c r="N146" s="51">
        <v>0</v>
      </c>
      <c r="O146" s="51">
        <v>0</v>
      </c>
      <c r="P146" s="62">
        <v>0</v>
      </c>
      <c r="Q146" s="105">
        <f t="shared" si="38"/>
        <v>0</v>
      </c>
      <c r="R146" s="92">
        <f t="shared" si="39"/>
        <v>13</v>
      </c>
      <c r="S146" s="84"/>
      <c r="T146" s="47"/>
      <c r="U146" s="19">
        <f t="shared" si="40"/>
        <v>0</v>
      </c>
      <c r="V146" s="19">
        <f t="shared" si="41"/>
        <v>0</v>
      </c>
      <c r="W146" s="19">
        <f t="shared" si="42"/>
        <v>0</v>
      </c>
      <c r="X146" s="19">
        <f t="shared" si="43"/>
        <v>0</v>
      </c>
      <c r="Y146" s="50"/>
    </row>
    <row r="147" spans="1:25" ht="38.25" outlineLevel="1" x14ac:dyDescent="0.25">
      <c r="A147" s="16" t="s">
        <v>146</v>
      </c>
      <c r="B147" s="17" t="s">
        <v>147</v>
      </c>
      <c r="C147" s="18" t="s">
        <v>98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62">
        <v>0</v>
      </c>
      <c r="J147" s="105">
        <f t="shared" si="37"/>
        <v>0</v>
      </c>
      <c r="K147" s="63">
        <v>0</v>
      </c>
      <c r="L147" s="51">
        <v>4</v>
      </c>
      <c r="M147" s="51">
        <v>0</v>
      </c>
      <c r="N147" s="51">
        <v>0</v>
      </c>
      <c r="O147" s="51">
        <v>0</v>
      </c>
      <c r="P147" s="62">
        <v>0</v>
      </c>
      <c r="Q147" s="105">
        <f t="shared" si="38"/>
        <v>4</v>
      </c>
      <c r="R147" s="92">
        <f t="shared" si="39"/>
        <v>4</v>
      </c>
      <c r="S147" s="84"/>
      <c r="T147" s="47"/>
      <c r="U147" s="19">
        <f t="shared" si="40"/>
        <v>0</v>
      </c>
      <c r="V147" s="19">
        <f t="shared" si="41"/>
        <v>0</v>
      </c>
      <c r="W147" s="19">
        <f t="shared" si="42"/>
        <v>0</v>
      </c>
      <c r="X147" s="19">
        <f t="shared" si="43"/>
        <v>0</v>
      </c>
      <c r="Y147" s="50"/>
    </row>
    <row r="148" spans="1:25" ht="38.25" outlineLevel="1" x14ac:dyDescent="0.25">
      <c r="A148" s="16" t="s">
        <v>148</v>
      </c>
      <c r="B148" s="17" t="s">
        <v>518</v>
      </c>
      <c r="C148" s="18" t="s">
        <v>98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62">
        <v>0</v>
      </c>
      <c r="J148" s="105">
        <f t="shared" si="37"/>
        <v>0</v>
      </c>
      <c r="K148" s="63">
        <v>0</v>
      </c>
      <c r="L148" s="51">
        <v>0</v>
      </c>
      <c r="M148" s="51">
        <v>0</v>
      </c>
      <c r="N148" s="51">
        <v>0</v>
      </c>
      <c r="O148" s="51">
        <v>0</v>
      </c>
      <c r="P148" s="62">
        <v>2</v>
      </c>
      <c r="Q148" s="105">
        <f t="shared" si="38"/>
        <v>2</v>
      </c>
      <c r="R148" s="92">
        <f t="shared" si="39"/>
        <v>2</v>
      </c>
      <c r="S148" s="84"/>
      <c r="T148" s="47"/>
      <c r="U148" s="19">
        <f t="shared" si="40"/>
        <v>0</v>
      </c>
      <c r="V148" s="19">
        <f t="shared" si="41"/>
        <v>0</v>
      </c>
      <c r="W148" s="19">
        <f t="shared" si="42"/>
        <v>0</v>
      </c>
      <c r="X148" s="19">
        <f t="shared" si="43"/>
        <v>0</v>
      </c>
      <c r="Y148" s="50"/>
    </row>
    <row r="149" spans="1:25" ht="38.25" outlineLevel="1" x14ac:dyDescent="0.25">
      <c r="A149" s="16" t="s">
        <v>149</v>
      </c>
      <c r="B149" s="17" t="s">
        <v>150</v>
      </c>
      <c r="C149" s="18" t="s">
        <v>98</v>
      </c>
      <c r="D149" s="51">
        <v>0</v>
      </c>
      <c r="E149" s="51">
        <v>3</v>
      </c>
      <c r="F149" s="51">
        <v>0</v>
      </c>
      <c r="G149" s="51">
        <v>0</v>
      </c>
      <c r="H149" s="51">
        <v>0</v>
      </c>
      <c r="I149" s="62">
        <v>0</v>
      </c>
      <c r="J149" s="105">
        <f t="shared" si="37"/>
        <v>3</v>
      </c>
      <c r="K149" s="63">
        <v>0</v>
      </c>
      <c r="L149" s="51">
        <v>0</v>
      </c>
      <c r="M149" s="51">
        <v>0</v>
      </c>
      <c r="N149" s="51">
        <v>0</v>
      </c>
      <c r="O149" s="51">
        <v>0</v>
      </c>
      <c r="P149" s="62">
        <v>0</v>
      </c>
      <c r="Q149" s="105">
        <f t="shared" si="38"/>
        <v>0</v>
      </c>
      <c r="R149" s="92">
        <f t="shared" si="39"/>
        <v>3</v>
      </c>
      <c r="S149" s="84"/>
      <c r="T149" s="47"/>
      <c r="U149" s="19">
        <f t="shared" si="40"/>
        <v>0</v>
      </c>
      <c r="V149" s="19">
        <f t="shared" si="41"/>
        <v>0</v>
      </c>
      <c r="W149" s="19">
        <f t="shared" si="42"/>
        <v>0</v>
      </c>
      <c r="X149" s="19">
        <f t="shared" si="43"/>
        <v>0</v>
      </c>
      <c r="Y149" s="50"/>
    </row>
    <row r="150" spans="1:25" ht="51" outlineLevel="1" x14ac:dyDescent="0.25">
      <c r="A150" s="16" t="s">
        <v>151</v>
      </c>
      <c r="B150" s="17" t="s">
        <v>152</v>
      </c>
      <c r="C150" s="18" t="s">
        <v>98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62">
        <v>0</v>
      </c>
      <c r="J150" s="105">
        <f t="shared" si="37"/>
        <v>0</v>
      </c>
      <c r="K150" s="63">
        <v>0</v>
      </c>
      <c r="L150" s="51">
        <v>2</v>
      </c>
      <c r="M150" s="51">
        <v>0</v>
      </c>
      <c r="N150" s="51">
        <v>0</v>
      </c>
      <c r="O150" s="51">
        <v>0</v>
      </c>
      <c r="P150" s="62">
        <v>0</v>
      </c>
      <c r="Q150" s="105">
        <f t="shared" si="38"/>
        <v>2</v>
      </c>
      <c r="R150" s="92">
        <f t="shared" si="39"/>
        <v>2</v>
      </c>
      <c r="S150" s="84"/>
      <c r="T150" s="47"/>
      <c r="U150" s="19">
        <f t="shared" si="40"/>
        <v>0</v>
      </c>
      <c r="V150" s="19">
        <f t="shared" si="41"/>
        <v>0</v>
      </c>
      <c r="W150" s="19">
        <f t="shared" si="42"/>
        <v>0</v>
      </c>
      <c r="X150" s="19">
        <f t="shared" si="43"/>
        <v>0</v>
      </c>
      <c r="Y150" s="50"/>
    </row>
    <row r="151" spans="1:25" ht="38.25" outlineLevel="1" x14ac:dyDescent="0.25">
      <c r="A151" s="16" t="s">
        <v>153</v>
      </c>
      <c r="B151" s="17" t="s">
        <v>519</v>
      </c>
      <c r="C151" s="18" t="s">
        <v>98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62">
        <v>0</v>
      </c>
      <c r="J151" s="105">
        <f t="shared" si="37"/>
        <v>0</v>
      </c>
      <c r="K151" s="63">
        <v>0</v>
      </c>
      <c r="L151" s="51">
        <v>0</v>
      </c>
      <c r="M151" s="51">
        <v>0</v>
      </c>
      <c r="N151" s="51">
        <v>0</v>
      </c>
      <c r="O151" s="51">
        <v>0</v>
      </c>
      <c r="P151" s="62">
        <v>8</v>
      </c>
      <c r="Q151" s="105">
        <f t="shared" si="38"/>
        <v>8</v>
      </c>
      <c r="R151" s="92">
        <f t="shared" si="39"/>
        <v>8</v>
      </c>
      <c r="S151" s="84"/>
      <c r="T151" s="47"/>
      <c r="U151" s="19">
        <f t="shared" si="40"/>
        <v>0</v>
      </c>
      <c r="V151" s="19">
        <f t="shared" si="41"/>
        <v>0</v>
      </c>
      <c r="W151" s="19">
        <f t="shared" si="42"/>
        <v>0</v>
      </c>
      <c r="X151" s="19">
        <f t="shared" si="43"/>
        <v>0</v>
      </c>
      <c r="Y151" s="50"/>
    </row>
    <row r="152" spans="1:25" ht="38.25" outlineLevel="1" x14ac:dyDescent="0.25">
      <c r="A152" s="16"/>
      <c r="B152" s="17" t="s">
        <v>520</v>
      </c>
      <c r="C152" s="18" t="s">
        <v>98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62">
        <v>0</v>
      </c>
      <c r="J152" s="105">
        <f t="shared" si="37"/>
        <v>0</v>
      </c>
      <c r="K152" s="63">
        <v>0</v>
      </c>
      <c r="L152" s="51">
        <v>0</v>
      </c>
      <c r="M152" s="51">
        <v>0</v>
      </c>
      <c r="N152" s="51">
        <v>0</v>
      </c>
      <c r="O152" s="51">
        <v>0</v>
      </c>
      <c r="P152" s="62">
        <v>1</v>
      </c>
      <c r="Q152" s="105">
        <f t="shared" si="38"/>
        <v>1</v>
      </c>
      <c r="R152" s="92">
        <f t="shared" si="39"/>
        <v>1</v>
      </c>
      <c r="S152" s="84"/>
      <c r="T152" s="47"/>
      <c r="U152" s="19"/>
      <c r="V152" s="19"/>
      <c r="W152" s="19"/>
      <c r="X152" s="19"/>
      <c r="Y152" s="50"/>
    </row>
    <row r="153" spans="1:25" ht="38.25" outlineLevel="1" x14ac:dyDescent="0.25">
      <c r="A153" s="16" t="s">
        <v>154</v>
      </c>
      <c r="B153" s="17" t="s">
        <v>155</v>
      </c>
      <c r="C153" s="18" t="s">
        <v>98</v>
      </c>
      <c r="D153" s="51">
        <v>0</v>
      </c>
      <c r="E153" s="51">
        <v>1</v>
      </c>
      <c r="F153" s="51">
        <v>0</v>
      </c>
      <c r="G153" s="51">
        <v>0</v>
      </c>
      <c r="H153" s="51">
        <v>0</v>
      </c>
      <c r="I153" s="62">
        <v>0</v>
      </c>
      <c r="J153" s="105">
        <f t="shared" si="37"/>
        <v>1</v>
      </c>
      <c r="K153" s="63">
        <v>0</v>
      </c>
      <c r="L153" s="51">
        <v>0</v>
      </c>
      <c r="M153" s="51">
        <v>0</v>
      </c>
      <c r="N153" s="51">
        <v>0</v>
      </c>
      <c r="O153" s="51">
        <v>0</v>
      </c>
      <c r="P153" s="62">
        <v>0</v>
      </c>
      <c r="Q153" s="105">
        <f t="shared" si="38"/>
        <v>0</v>
      </c>
      <c r="R153" s="92">
        <f t="shared" si="39"/>
        <v>1</v>
      </c>
      <c r="S153" s="84"/>
      <c r="T153" s="47"/>
      <c r="U153" s="19">
        <f t="shared" si="40"/>
        <v>0</v>
      </c>
      <c r="V153" s="19">
        <f t="shared" si="41"/>
        <v>0</v>
      </c>
      <c r="W153" s="19">
        <f t="shared" si="42"/>
        <v>0</v>
      </c>
      <c r="X153" s="19">
        <f t="shared" si="43"/>
        <v>0</v>
      </c>
      <c r="Y153" s="50"/>
    </row>
    <row r="154" spans="1:25" ht="51" outlineLevel="1" x14ac:dyDescent="0.25">
      <c r="A154" s="16" t="s">
        <v>156</v>
      </c>
      <c r="B154" s="17" t="s">
        <v>157</v>
      </c>
      <c r="C154" s="18" t="s">
        <v>98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62">
        <v>0</v>
      </c>
      <c r="J154" s="105">
        <f t="shared" si="37"/>
        <v>0</v>
      </c>
      <c r="K154" s="63">
        <v>0</v>
      </c>
      <c r="L154" s="51">
        <v>2</v>
      </c>
      <c r="M154" s="51">
        <v>0</v>
      </c>
      <c r="N154" s="51">
        <v>0</v>
      </c>
      <c r="O154" s="51">
        <v>0</v>
      </c>
      <c r="P154" s="62">
        <v>0</v>
      </c>
      <c r="Q154" s="105">
        <f t="shared" si="38"/>
        <v>2</v>
      </c>
      <c r="R154" s="92">
        <f t="shared" si="39"/>
        <v>2</v>
      </c>
      <c r="S154" s="84"/>
      <c r="T154" s="47"/>
      <c r="U154" s="19">
        <f t="shared" si="40"/>
        <v>0</v>
      </c>
      <c r="V154" s="19">
        <f t="shared" si="41"/>
        <v>0</v>
      </c>
      <c r="W154" s="19">
        <f t="shared" si="42"/>
        <v>0</v>
      </c>
      <c r="X154" s="19">
        <f t="shared" si="43"/>
        <v>0</v>
      </c>
      <c r="Y154" s="50"/>
    </row>
    <row r="155" spans="1:25" ht="38.25" outlineLevel="1" x14ac:dyDescent="0.25">
      <c r="A155" s="16"/>
      <c r="B155" s="17" t="s">
        <v>521</v>
      </c>
      <c r="C155" s="18" t="s">
        <v>98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62">
        <v>0</v>
      </c>
      <c r="J155" s="105">
        <f t="shared" si="37"/>
        <v>0</v>
      </c>
      <c r="K155" s="63">
        <v>0</v>
      </c>
      <c r="L155" s="51">
        <v>0</v>
      </c>
      <c r="M155" s="51">
        <v>0</v>
      </c>
      <c r="N155" s="51">
        <v>0</v>
      </c>
      <c r="O155" s="51">
        <v>0</v>
      </c>
      <c r="P155" s="62">
        <v>4</v>
      </c>
      <c r="Q155" s="105">
        <f t="shared" si="38"/>
        <v>4</v>
      </c>
      <c r="R155" s="92">
        <f t="shared" si="39"/>
        <v>4</v>
      </c>
      <c r="S155" s="84"/>
      <c r="T155" s="47"/>
      <c r="U155" s="19"/>
      <c r="V155" s="19"/>
      <c r="W155" s="19"/>
      <c r="X155" s="19"/>
      <c r="Y155" s="50"/>
    </row>
    <row r="156" spans="1:25" ht="39" outlineLevel="1" thickBot="1" x14ac:dyDescent="0.3">
      <c r="A156" s="16" t="s">
        <v>158</v>
      </c>
      <c r="B156" s="17" t="s">
        <v>159</v>
      </c>
      <c r="C156" s="18" t="s">
        <v>98</v>
      </c>
      <c r="D156" s="51">
        <v>0</v>
      </c>
      <c r="E156" s="51">
        <v>6</v>
      </c>
      <c r="F156" s="51">
        <v>0</v>
      </c>
      <c r="G156" s="51">
        <v>0</v>
      </c>
      <c r="H156" s="51">
        <v>0</v>
      </c>
      <c r="I156" s="62">
        <v>0</v>
      </c>
      <c r="J156" s="106">
        <f t="shared" si="37"/>
        <v>6</v>
      </c>
      <c r="K156" s="63">
        <v>0</v>
      </c>
      <c r="L156" s="51">
        <v>0</v>
      </c>
      <c r="M156" s="51">
        <v>0</v>
      </c>
      <c r="N156" s="51">
        <v>0</v>
      </c>
      <c r="O156" s="51">
        <v>0</v>
      </c>
      <c r="P156" s="62">
        <v>0</v>
      </c>
      <c r="Q156" s="106">
        <f t="shared" si="38"/>
        <v>0</v>
      </c>
      <c r="R156" s="93">
        <f t="shared" si="39"/>
        <v>6</v>
      </c>
      <c r="S156" s="84"/>
      <c r="T156" s="47"/>
      <c r="U156" s="19">
        <f t="shared" si="40"/>
        <v>0</v>
      </c>
      <c r="V156" s="19">
        <f t="shared" si="41"/>
        <v>0</v>
      </c>
      <c r="W156" s="19">
        <f t="shared" si="42"/>
        <v>0</v>
      </c>
      <c r="X156" s="19">
        <f t="shared" si="43"/>
        <v>0</v>
      </c>
      <c r="Y156" s="50"/>
    </row>
    <row r="157" spans="1:25" ht="15.75" thickBot="1" x14ac:dyDescent="0.3">
      <c r="A157" s="9" t="s">
        <v>160</v>
      </c>
      <c r="B157" s="10" t="s">
        <v>161</v>
      </c>
      <c r="C157" s="11"/>
      <c r="D157" s="22"/>
      <c r="E157" s="22"/>
      <c r="F157" s="22"/>
      <c r="G157" s="22"/>
      <c r="H157" s="22"/>
      <c r="I157" s="22"/>
      <c r="J157" s="88"/>
      <c r="K157" s="22"/>
      <c r="L157" s="22"/>
      <c r="M157" s="22"/>
      <c r="N157" s="22"/>
      <c r="O157" s="22"/>
      <c r="P157" s="22"/>
      <c r="Q157" s="88"/>
      <c r="R157" s="88"/>
      <c r="S157" s="15"/>
      <c r="T157" s="15"/>
      <c r="U157" s="15"/>
      <c r="V157" s="14">
        <f>SUM(V158:V160)</f>
        <v>0</v>
      </c>
      <c r="W157" s="14">
        <f>SUM(W158:W160)</f>
        <v>0</v>
      </c>
      <c r="X157" s="14">
        <f>SUM(X158:X160)</f>
        <v>0</v>
      </c>
      <c r="Y157" s="49"/>
    </row>
    <row r="158" spans="1:25" ht="25.5" outlineLevel="1" x14ac:dyDescent="0.25">
      <c r="A158" s="16" t="s">
        <v>162</v>
      </c>
      <c r="B158" s="58" t="s">
        <v>163</v>
      </c>
      <c r="C158" s="18" t="s">
        <v>98</v>
      </c>
      <c r="D158" s="51">
        <v>5</v>
      </c>
      <c r="E158" s="51">
        <v>0</v>
      </c>
      <c r="F158" s="51">
        <v>6</v>
      </c>
      <c r="G158" s="51">
        <v>5</v>
      </c>
      <c r="H158" s="51">
        <v>0</v>
      </c>
      <c r="I158" s="62">
        <v>4</v>
      </c>
      <c r="J158" s="107">
        <f>SUM(D158:I158)</f>
        <v>20</v>
      </c>
      <c r="K158" s="63">
        <v>2</v>
      </c>
      <c r="L158" s="51">
        <v>4</v>
      </c>
      <c r="M158" s="51">
        <v>2</v>
      </c>
      <c r="N158" s="51">
        <v>4</v>
      </c>
      <c r="O158" s="51">
        <v>4</v>
      </c>
      <c r="P158" s="62">
        <v>0</v>
      </c>
      <c r="Q158" s="107">
        <f>SUM(K158:P158)</f>
        <v>16</v>
      </c>
      <c r="R158" s="94">
        <f>J158+Q158</f>
        <v>36</v>
      </c>
      <c r="S158" s="84"/>
      <c r="T158" s="47"/>
      <c r="U158" s="19">
        <f>T158+S158</f>
        <v>0</v>
      </c>
      <c r="V158" s="19">
        <f>R158*S158</f>
        <v>0</v>
      </c>
      <c r="W158" s="19">
        <f>T158*R158</f>
        <v>0</v>
      </c>
      <c r="X158" s="19">
        <f>W158+V158</f>
        <v>0</v>
      </c>
      <c r="Y158" s="50"/>
    </row>
    <row r="159" spans="1:25" ht="25.5" outlineLevel="1" x14ac:dyDescent="0.25">
      <c r="A159" s="16" t="s">
        <v>164</v>
      </c>
      <c r="B159" s="17" t="s">
        <v>165</v>
      </c>
      <c r="C159" s="18" t="s">
        <v>98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62">
        <v>0</v>
      </c>
      <c r="J159" s="105">
        <f>SUM(D159:I159)</f>
        <v>0</v>
      </c>
      <c r="K159" s="63">
        <v>0</v>
      </c>
      <c r="L159" s="51">
        <v>0</v>
      </c>
      <c r="M159" s="51">
        <v>5</v>
      </c>
      <c r="N159" s="51">
        <v>0</v>
      </c>
      <c r="O159" s="51">
        <v>0</v>
      </c>
      <c r="P159" s="62">
        <v>0</v>
      </c>
      <c r="Q159" s="105">
        <f>SUM(K159:P159)</f>
        <v>5</v>
      </c>
      <c r="R159" s="92">
        <f>J159+Q159</f>
        <v>5</v>
      </c>
      <c r="S159" s="84"/>
      <c r="T159" s="47"/>
      <c r="U159" s="19">
        <f>T159+S159</f>
        <v>0</v>
      </c>
      <c r="V159" s="19">
        <f>R159*S159</f>
        <v>0</v>
      </c>
      <c r="W159" s="19">
        <f>T159*R159</f>
        <v>0</v>
      </c>
      <c r="X159" s="19">
        <f>W159+V159</f>
        <v>0</v>
      </c>
      <c r="Y159" s="50"/>
    </row>
    <row r="160" spans="1:25" ht="26.25" outlineLevel="1" thickBot="1" x14ac:dyDescent="0.3">
      <c r="A160" s="16" t="s">
        <v>166</v>
      </c>
      <c r="B160" s="17" t="s">
        <v>167</v>
      </c>
      <c r="C160" s="18" t="s">
        <v>98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62">
        <v>0</v>
      </c>
      <c r="J160" s="106">
        <f>SUM(D160:I160)</f>
        <v>0</v>
      </c>
      <c r="K160" s="63">
        <v>0</v>
      </c>
      <c r="L160" s="51">
        <v>2</v>
      </c>
      <c r="M160" s="51">
        <v>0</v>
      </c>
      <c r="N160" s="51">
        <v>0</v>
      </c>
      <c r="O160" s="51">
        <v>0</v>
      </c>
      <c r="P160" s="62">
        <v>0</v>
      </c>
      <c r="Q160" s="106">
        <f>SUM(K160:P160)</f>
        <v>2</v>
      </c>
      <c r="R160" s="93">
        <f>J160+Q160</f>
        <v>2</v>
      </c>
      <c r="S160" s="84"/>
      <c r="T160" s="47"/>
      <c r="U160" s="19">
        <f>T160+S160</f>
        <v>0</v>
      </c>
      <c r="V160" s="19">
        <f>R160*S160</f>
        <v>0</v>
      </c>
      <c r="W160" s="19">
        <f>T160*R160</f>
        <v>0</v>
      </c>
      <c r="X160" s="19">
        <f>W160+V160</f>
        <v>0</v>
      </c>
      <c r="Y160" s="50"/>
    </row>
    <row r="161" spans="1:25" ht="26.25" thickBot="1" x14ac:dyDescent="0.3">
      <c r="A161" s="9" t="s">
        <v>168</v>
      </c>
      <c r="B161" s="10" t="s">
        <v>169</v>
      </c>
      <c r="C161" s="23"/>
      <c r="D161" s="22"/>
      <c r="E161" s="22"/>
      <c r="F161" s="22"/>
      <c r="G161" s="22"/>
      <c r="H161" s="22"/>
      <c r="I161" s="22"/>
      <c r="J161" s="88"/>
      <c r="K161" s="22"/>
      <c r="L161" s="22"/>
      <c r="M161" s="22"/>
      <c r="N161" s="22"/>
      <c r="O161" s="22"/>
      <c r="P161" s="22"/>
      <c r="Q161" s="88"/>
      <c r="R161" s="88"/>
      <c r="S161" s="15"/>
      <c r="T161" s="15"/>
      <c r="U161" s="15"/>
      <c r="V161" s="14">
        <f>SUM(V162:V167)</f>
        <v>0</v>
      </c>
      <c r="W161" s="14">
        <f>SUM(W162:W167)</f>
        <v>0</v>
      </c>
      <c r="X161" s="14">
        <f>SUM(X162:X167)</f>
        <v>0</v>
      </c>
      <c r="Y161" s="49"/>
    </row>
    <row r="162" spans="1:25" outlineLevel="1" x14ac:dyDescent="0.25">
      <c r="A162" s="16" t="s">
        <v>170</v>
      </c>
      <c r="B162" s="17" t="s">
        <v>171</v>
      </c>
      <c r="C162" s="18" t="s">
        <v>172</v>
      </c>
      <c r="D162" s="64">
        <v>0.12720000000000001</v>
      </c>
      <c r="E162" s="64">
        <v>0.15264000000000003</v>
      </c>
      <c r="F162" s="64"/>
      <c r="G162" s="64">
        <v>0.12720000000000001</v>
      </c>
      <c r="H162" s="64"/>
      <c r="I162" s="98">
        <v>0.10176</v>
      </c>
      <c r="J162" s="107">
        <f t="shared" ref="J162:J167" si="44">SUM(D162:I162)</f>
        <v>0.50880000000000003</v>
      </c>
      <c r="K162" s="113">
        <v>5.0880000000000002E-2</v>
      </c>
      <c r="L162" s="64">
        <v>0.33072000000000001</v>
      </c>
      <c r="M162" s="64"/>
      <c r="N162" s="64">
        <v>0.20352000000000001</v>
      </c>
      <c r="O162" s="64"/>
      <c r="P162" s="98">
        <v>0.33072000000000001</v>
      </c>
      <c r="Q162" s="107">
        <f t="shared" ref="Q162:Q167" si="45">SUM(K162:P162)</f>
        <v>0.91583999999999999</v>
      </c>
      <c r="R162" s="94">
        <f t="shared" ref="R162:R167" si="46">J162+Q162</f>
        <v>1.4246400000000001</v>
      </c>
      <c r="S162" s="84"/>
      <c r="T162" s="47"/>
      <c r="U162" s="19">
        <f t="shared" ref="U162:U167" si="47">T162+S162</f>
        <v>0</v>
      </c>
      <c r="V162" s="19">
        <f t="shared" ref="V162:V167" si="48">R162*S162</f>
        <v>0</v>
      </c>
      <c r="W162" s="19">
        <f t="shared" ref="W162:W167" si="49">T162*R162</f>
        <v>0</v>
      </c>
      <c r="X162" s="19">
        <f t="shared" ref="X162:X167" si="50">W162+V162</f>
        <v>0</v>
      </c>
      <c r="Y162" s="50"/>
    </row>
    <row r="163" spans="1:25" outlineLevel="1" x14ac:dyDescent="0.25">
      <c r="A163" s="16" t="s">
        <v>173</v>
      </c>
      <c r="B163" s="17" t="s">
        <v>174</v>
      </c>
      <c r="C163" s="18" t="s">
        <v>172</v>
      </c>
      <c r="D163" s="64">
        <v>4.2599999999999992E-2</v>
      </c>
      <c r="E163" s="64">
        <v>5.1119999999999999E-2</v>
      </c>
      <c r="F163" s="64"/>
      <c r="G163" s="64">
        <v>4.2599999999999992E-2</v>
      </c>
      <c r="H163" s="64"/>
      <c r="I163" s="98">
        <v>3.4079999999999999E-2</v>
      </c>
      <c r="J163" s="105">
        <f t="shared" si="44"/>
        <v>0.1704</v>
      </c>
      <c r="K163" s="113">
        <v>1.704E-2</v>
      </c>
      <c r="L163" s="64">
        <v>0.11076</v>
      </c>
      <c r="M163" s="64"/>
      <c r="N163" s="64">
        <v>6.8159999999999998E-2</v>
      </c>
      <c r="O163" s="64"/>
      <c r="P163" s="98">
        <v>0.11076</v>
      </c>
      <c r="Q163" s="105">
        <f t="shared" si="45"/>
        <v>0.30671999999999999</v>
      </c>
      <c r="R163" s="92">
        <f t="shared" si="46"/>
        <v>0.47711999999999999</v>
      </c>
      <c r="S163" s="84"/>
      <c r="T163" s="47"/>
      <c r="U163" s="19">
        <f t="shared" si="47"/>
        <v>0</v>
      </c>
      <c r="V163" s="19">
        <f t="shared" si="48"/>
        <v>0</v>
      </c>
      <c r="W163" s="19">
        <f t="shared" si="49"/>
        <v>0</v>
      </c>
      <c r="X163" s="19">
        <f t="shared" si="50"/>
        <v>0</v>
      </c>
      <c r="Y163" s="50"/>
    </row>
    <row r="164" spans="1:25" outlineLevel="1" x14ac:dyDescent="0.25">
      <c r="A164" s="16" t="s">
        <v>175</v>
      </c>
      <c r="B164" s="17" t="s">
        <v>176</v>
      </c>
      <c r="C164" s="18" t="s">
        <v>172</v>
      </c>
      <c r="D164" s="64">
        <v>1.3800000000000002E-2</v>
      </c>
      <c r="E164" s="64">
        <v>1.6560000000000002E-2</v>
      </c>
      <c r="F164" s="64"/>
      <c r="G164" s="64">
        <v>1.3800000000000002E-2</v>
      </c>
      <c r="H164" s="64"/>
      <c r="I164" s="98">
        <v>1.1040000000000001E-2</v>
      </c>
      <c r="J164" s="105">
        <f t="shared" si="44"/>
        <v>5.5200000000000006E-2</v>
      </c>
      <c r="K164" s="113">
        <v>5.5200000000000006E-3</v>
      </c>
      <c r="L164" s="64">
        <v>3.5880000000000002E-2</v>
      </c>
      <c r="M164" s="64"/>
      <c r="N164" s="64">
        <v>2.2080000000000002E-2</v>
      </c>
      <c r="O164" s="64"/>
      <c r="P164" s="98">
        <v>3.5880000000000002E-2</v>
      </c>
      <c r="Q164" s="105">
        <f t="shared" si="45"/>
        <v>9.9360000000000004E-2</v>
      </c>
      <c r="R164" s="92">
        <f t="shared" si="46"/>
        <v>0.15456</v>
      </c>
      <c r="S164" s="84"/>
      <c r="T164" s="47"/>
      <c r="U164" s="19">
        <f t="shared" si="47"/>
        <v>0</v>
      </c>
      <c r="V164" s="19">
        <f t="shared" si="48"/>
        <v>0</v>
      </c>
      <c r="W164" s="19">
        <f t="shared" si="49"/>
        <v>0</v>
      </c>
      <c r="X164" s="19">
        <f t="shared" si="50"/>
        <v>0</v>
      </c>
      <c r="Y164" s="50"/>
    </row>
    <row r="165" spans="1:25" outlineLevel="1" x14ac:dyDescent="0.25">
      <c r="A165" s="16" t="s">
        <v>177</v>
      </c>
      <c r="B165" s="17" t="s">
        <v>178</v>
      </c>
      <c r="C165" s="18" t="s">
        <v>172</v>
      </c>
      <c r="D165" s="64">
        <v>4.9799999999999997E-2</v>
      </c>
      <c r="E165" s="64">
        <v>5.9760000000000001E-2</v>
      </c>
      <c r="F165" s="64"/>
      <c r="G165" s="64">
        <v>4.9799999999999997E-2</v>
      </c>
      <c r="H165" s="64"/>
      <c r="I165" s="98">
        <v>3.9839999999999993E-2</v>
      </c>
      <c r="J165" s="105">
        <f t="shared" si="44"/>
        <v>0.19919999999999999</v>
      </c>
      <c r="K165" s="113">
        <v>1.9919999999999997E-2</v>
      </c>
      <c r="L165" s="64">
        <v>0.12947999999999998</v>
      </c>
      <c r="M165" s="64"/>
      <c r="N165" s="64">
        <v>7.9679999999999987E-2</v>
      </c>
      <c r="O165" s="64"/>
      <c r="P165" s="98">
        <v>0.12947999999999998</v>
      </c>
      <c r="Q165" s="105">
        <f t="shared" si="45"/>
        <v>0.35855999999999993</v>
      </c>
      <c r="R165" s="92">
        <f t="shared" si="46"/>
        <v>0.55775999999999992</v>
      </c>
      <c r="S165" s="84"/>
      <c r="T165" s="47"/>
      <c r="U165" s="19">
        <f t="shared" si="47"/>
        <v>0</v>
      </c>
      <c r="V165" s="19">
        <f t="shared" si="48"/>
        <v>0</v>
      </c>
      <c r="W165" s="19">
        <f t="shared" si="49"/>
        <v>0</v>
      </c>
      <c r="X165" s="19">
        <f t="shared" si="50"/>
        <v>0</v>
      </c>
      <c r="Y165" s="50"/>
    </row>
    <row r="166" spans="1:25" outlineLevel="1" x14ac:dyDescent="0.25">
      <c r="A166" s="16" t="s">
        <v>179</v>
      </c>
      <c r="B166" s="17" t="s">
        <v>180</v>
      </c>
      <c r="C166" s="18" t="s">
        <v>98</v>
      </c>
      <c r="D166" s="51">
        <v>240</v>
      </c>
      <c r="E166" s="51">
        <v>288</v>
      </c>
      <c r="F166" s="51"/>
      <c r="G166" s="51">
        <v>240</v>
      </c>
      <c r="H166" s="51"/>
      <c r="I166" s="62">
        <v>192</v>
      </c>
      <c r="J166" s="105">
        <f t="shared" si="44"/>
        <v>960</v>
      </c>
      <c r="K166" s="63">
        <v>96</v>
      </c>
      <c r="L166" s="51">
        <v>624</v>
      </c>
      <c r="M166" s="51"/>
      <c r="N166" s="51">
        <v>384</v>
      </c>
      <c r="O166" s="51"/>
      <c r="P166" s="62">
        <v>624</v>
      </c>
      <c r="Q166" s="105">
        <f t="shared" si="45"/>
        <v>1728</v>
      </c>
      <c r="R166" s="92">
        <f t="shared" si="46"/>
        <v>2688</v>
      </c>
      <c r="S166" s="84"/>
      <c r="T166" s="47"/>
      <c r="U166" s="19">
        <f t="shared" si="47"/>
        <v>0</v>
      </c>
      <c r="V166" s="19">
        <f t="shared" si="48"/>
        <v>0</v>
      </c>
      <c r="W166" s="19">
        <f t="shared" si="49"/>
        <v>0</v>
      </c>
      <c r="X166" s="19">
        <f t="shared" si="50"/>
        <v>0</v>
      </c>
      <c r="Y166" s="50"/>
    </row>
    <row r="167" spans="1:25" ht="15.75" outlineLevel="1" thickBot="1" x14ac:dyDescent="0.3">
      <c r="A167" s="16" t="s">
        <v>181</v>
      </c>
      <c r="B167" s="17" t="s">
        <v>182</v>
      </c>
      <c r="C167" s="18" t="s">
        <v>172</v>
      </c>
      <c r="D167" s="51">
        <v>0</v>
      </c>
      <c r="E167" s="51">
        <v>0</v>
      </c>
      <c r="F167" s="51"/>
      <c r="G167" s="51">
        <v>0</v>
      </c>
      <c r="H167" s="51"/>
      <c r="I167" s="62">
        <v>0</v>
      </c>
      <c r="J167" s="106">
        <f t="shared" si="44"/>
        <v>0</v>
      </c>
      <c r="K167" s="63">
        <v>0</v>
      </c>
      <c r="L167" s="64">
        <v>0.14976</v>
      </c>
      <c r="M167" s="64"/>
      <c r="N167" s="64">
        <v>0</v>
      </c>
      <c r="O167" s="64"/>
      <c r="P167" s="62">
        <v>0</v>
      </c>
      <c r="Q167" s="106">
        <f t="shared" si="45"/>
        <v>0.14976</v>
      </c>
      <c r="R167" s="93">
        <f t="shared" si="46"/>
        <v>0.14976</v>
      </c>
      <c r="S167" s="84"/>
      <c r="T167" s="47"/>
      <c r="U167" s="19">
        <f t="shared" si="47"/>
        <v>0</v>
      </c>
      <c r="V167" s="19">
        <f t="shared" si="48"/>
        <v>0</v>
      </c>
      <c r="W167" s="19">
        <f t="shared" si="49"/>
        <v>0</v>
      </c>
      <c r="X167" s="19">
        <f t="shared" si="50"/>
        <v>0</v>
      </c>
      <c r="Y167" s="50"/>
    </row>
    <row r="168" spans="1:25" ht="26.25" thickBot="1" x14ac:dyDescent="0.3">
      <c r="A168" s="9" t="s">
        <v>183</v>
      </c>
      <c r="B168" s="10" t="s">
        <v>184</v>
      </c>
      <c r="C168" s="11"/>
      <c r="D168" s="12"/>
      <c r="E168" s="12"/>
      <c r="F168" s="12"/>
      <c r="G168" s="12"/>
      <c r="H168" s="12"/>
      <c r="I168" s="12"/>
      <c r="J168" s="101"/>
      <c r="K168" s="12"/>
      <c r="L168" s="12"/>
      <c r="M168" s="12"/>
      <c r="N168" s="12"/>
      <c r="O168" s="12"/>
      <c r="P168" s="12"/>
      <c r="Q168" s="101"/>
      <c r="R168" s="88"/>
      <c r="S168" s="15"/>
      <c r="T168" s="15"/>
      <c r="U168" s="15"/>
      <c r="V168" s="14">
        <f>SUM(V169:V188)</f>
        <v>0</v>
      </c>
      <c r="W168" s="14">
        <f>SUM(W169:W188)</f>
        <v>0</v>
      </c>
      <c r="X168" s="14">
        <f>SUM(X169:X188)</f>
        <v>0</v>
      </c>
      <c r="Y168" s="49"/>
    </row>
    <row r="169" spans="1:25" ht="39" customHeight="1" outlineLevel="1" x14ac:dyDescent="0.25">
      <c r="A169" s="16" t="s">
        <v>185</v>
      </c>
      <c r="B169" s="17" t="s">
        <v>186</v>
      </c>
      <c r="C169" s="18" t="s">
        <v>102</v>
      </c>
      <c r="D169" s="51">
        <v>103.55</v>
      </c>
      <c r="E169" s="51">
        <v>59.44</v>
      </c>
      <c r="F169" s="51">
        <v>111.49</v>
      </c>
      <c r="G169" s="51">
        <v>103.45</v>
      </c>
      <c r="H169" s="51">
        <v>98.75</v>
      </c>
      <c r="I169" s="62">
        <v>66.34</v>
      </c>
      <c r="J169" s="107">
        <f t="shared" ref="J169:J188" si="51">SUM(D169:I169)</f>
        <v>543.02</v>
      </c>
      <c r="K169" s="63">
        <v>109.2</v>
      </c>
      <c r="L169" s="51">
        <v>94.21</v>
      </c>
      <c r="M169" s="51">
        <v>96.64</v>
      </c>
      <c r="N169" s="51">
        <v>0</v>
      </c>
      <c r="O169" s="51">
        <v>47.75</v>
      </c>
      <c r="P169" s="62">
        <v>79.69</v>
      </c>
      <c r="Q169" s="107">
        <f t="shared" ref="Q169:Q188" si="52">SUM(K169:P169)</f>
        <v>427.49</v>
      </c>
      <c r="R169" s="94">
        <f t="shared" ref="R169:R188" si="53">J169+Q169</f>
        <v>970.51</v>
      </c>
      <c r="S169" s="84"/>
      <c r="T169" s="47"/>
      <c r="U169" s="19">
        <f t="shared" ref="U169:U188" si="54">T169+S169</f>
        <v>0</v>
      </c>
      <c r="V169" s="19">
        <f t="shared" ref="V169:V188" si="55">R169*S169</f>
        <v>0</v>
      </c>
      <c r="W169" s="19">
        <f t="shared" ref="W169:W188" si="56">T169*R169</f>
        <v>0</v>
      </c>
      <c r="X169" s="19">
        <f t="shared" ref="X169:X188" si="57">W169+V169</f>
        <v>0</v>
      </c>
      <c r="Y169" s="50"/>
    </row>
    <row r="170" spans="1:25" ht="39" customHeight="1" outlineLevel="1" x14ac:dyDescent="0.25">
      <c r="A170" s="16" t="s">
        <v>187</v>
      </c>
      <c r="B170" s="17" t="s">
        <v>188</v>
      </c>
      <c r="C170" s="18" t="s">
        <v>102</v>
      </c>
      <c r="D170" s="51">
        <v>94.99</v>
      </c>
      <c r="E170" s="51">
        <v>66.41</v>
      </c>
      <c r="F170" s="51">
        <v>82.65</v>
      </c>
      <c r="G170" s="51">
        <v>72.599999999999994</v>
      </c>
      <c r="H170" s="51">
        <v>81.12</v>
      </c>
      <c r="I170" s="62">
        <v>89.16</v>
      </c>
      <c r="J170" s="105">
        <f t="shared" si="51"/>
        <v>486.92999999999995</v>
      </c>
      <c r="K170" s="63">
        <v>79.62</v>
      </c>
      <c r="L170" s="51">
        <v>80.650000000000006</v>
      </c>
      <c r="M170" s="51">
        <v>84.71</v>
      </c>
      <c r="N170" s="51">
        <v>60.27</v>
      </c>
      <c r="O170" s="51">
        <v>62.25</v>
      </c>
      <c r="P170" s="62">
        <v>83.75</v>
      </c>
      <c r="Q170" s="105">
        <f t="shared" si="52"/>
        <v>451.25</v>
      </c>
      <c r="R170" s="92">
        <f t="shared" si="53"/>
        <v>938.18</v>
      </c>
      <c r="S170" s="84"/>
      <c r="T170" s="47"/>
      <c r="U170" s="19">
        <f t="shared" si="54"/>
        <v>0</v>
      </c>
      <c r="V170" s="19">
        <f t="shared" si="55"/>
        <v>0</v>
      </c>
      <c r="W170" s="19">
        <f t="shared" si="56"/>
        <v>0</v>
      </c>
      <c r="X170" s="19">
        <f t="shared" si="57"/>
        <v>0</v>
      </c>
      <c r="Y170" s="50"/>
    </row>
    <row r="171" spans="1:25" ht="39" customHeight="1" outlineLevel="1" x14ac:dyDescent="0.25">
      <c r="A171" s="16" t="s">
        <v>189</v>
      </c>
      <c r="B171" s="17" t="s">
        <v>190</v>
      </c>
      <c r="C171" s="18" t="s">
        <v>102</v>
      </c>
      <c r="D171" s="51">
        <v>1.96</v>
      </c>
      <c r="E171" s="51">
        <v>1.94</v>
      </c>
      <c r="F171" s="51">
        <v>1.9</v>
      </c>
      <c r="G171" s="51">
        <v>1.92</v>
      </c>
      <c r="H171" s="51">
        <v>1.89</v>
      </c>
      <c r="I171" s="62">
        <v>11.2</v>
      </c>
      <c r="J171" s="105">
        <f t="shared" si="51"/>
        <v>20.81</v>
      </c>
      <c r="K171" s="63">
        <v>12.24</v>
      </c>
      <c r="L171" s="51">
        <v>13.2</v>
      </c>
      <c r="M171" s="51">
        <v>13.84</v>
      </c>
      <c r="N171" s="51">
        <v>0</v>
      </c>
      <c r="O171" s="51">
        <v>12.08</v>
      </c>
      <c r="P171" s="62">
        <v>23.59</v>
      </c>
      <c r="Q171" s="105">
        <f t="shared" si="52"/>
        <v>74.95</v>
      </c>
      <c r="R171" s="92">
        <f t="shared" si="53"/>
        <v>95.76</v>
      </c>
      <c r="S171" s="84"/>
      <c r="T171" s="47"/>
      <c r="U171" s="19">
        <f t="shared" si="54"/>
        <v>0</v>
      </c>
      <c r="V171" s="19">
        <f t="shared" si="55"/>
        <v>0</v>
      </c>
      <c r="W171" s="19">
        <f t="shared" si="56"/>
        <v>0</v>
      </c>
      <c r="X171" s="19">
        <f t="shared" si="57"/>
        <v>0</v>
      </c>
      <c r="Y171" s="50"/>
    </row>
    <row r="172" spans="1:25" ht="39" customHeight="1" outlineLevel="1" x14ac:dyDescent="0.25">
      <c r="A172" s="16" t="s">
        <v>191</v>
      </c>
      <c r="B172" s="17" t="s">
        <v>192</v>
      </c>
      <c r="C172" s="18" t="s">
        <v>102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62">
        <v>0</v>
      </c>
      <c r="J172" s="105">
        <f t="shared" si="51"/>
        <v>0</v>
      </c>
      <c r="K172" s="63">
        <v>4.13</v>
      </c>
      <c r="L172" s="51">
        <v>6.21</v>
      </c>
      <c r="M172" s="51">
        <v>6.13</v>
      </c>
      <c r="N172" s="51">
        <v>3.85</v>
      </c>
      <c r="O172" s="51">
        <v>0</v>
      </c>
      <c r="P172" s="62">
        <v>0</v>
      </c>
      <c r="Q172" s="105">
        <f t="shared" si="52"/>
        <v>20.32</v>
      </c>
      <c r="R172" s="92">
        <f t="shared" si="53"/>
        <v>20.32</v>
      </c>
      <c r="S172" s="84"/>
      <c r="T172" s="47"/>
      <c r="U172" s="19">
        <f t="shared" si="54"/>
        <v>0</v>
      </c>
      <c r="V172" s="19">
        <f t="shared" si="55"/>
        <v>0</v>
      </c>
      <c r="W172" s="19">
        <f t="shared" si="56"/>
        <v>0</v>
      </c>
      <c r="X172" s="19">
        <f t="shared" si="57"/>
        <v>0</v>
      </c>
      <c r="Y172" s="50"/>
    </row>
    <row r="173" spans="1:25" ht="39" customHeight="1" outlineLevel="1" x14ac:dyDescent="0.25">
      <c r="A173" s="16" t="s">
        <v>193</v>
      </c>
      <c r="B173" s="17" t="s">
        <v>194</v>
      </c>
      <c r="C173" s="18" t="s">
        <v>102</v>
      </c>
      <c r="D173" s="51">
        <v>6.06</v>
      </c>
      <c r="E173" s="51">
        <v>1.94</v>
      </c>
      <c r="F173" s="51">
        <v>1.9</v>
      </c>
      <c r="G173" s="51">
        <v>3.25</v>
      </c>
      <c r="H173" s="51">
        <v>2.74</v>
      </c>
      <c r="I173" s="62">
        <v>11.26</v>
      </c>
      <c r="J173" s="105">
        <f t="shared" si="51"/>
        <v>27.15</v>
      </c>
      <c r="K173" s="63">
        <v>10.79</v>
      </c>
      <c r="L173" s="51">
        <v>7.57</v>
      </c>
      <c r="M173" s="51">
        <v>8.11</v>
      </c>
      <c r="N173" s="51">
        <v>0</v>
      </c>
      <c r="O173" s="51">
        <v>10.26</v>
      </c>
      <c r="P173" s="62">
        <v>21.07</v>
      </c>
      <c r="Q173" s="105">
        <f t="shared" si="52"/>
        <v>57.8</v>
      </c>
      <c r="R173" s="92">
        <f t="shared" si="53"/>
        <v>84.949999999999989</v>
      </c>
      <c r="S173" s="84"/>
      <c r="T173" s="47"/>
      <c r="U173" s="19">
        <f t="shared" si="54"/>
        <v>0</v>
      </c>
      <c r="V173" s="19">
        <f t="shared" si="55"/>
        <v>0</v>
      </c>
      <c r="W173" s="19">
        <f t="shared" si="56"/>
        <v>0</v>
      </c>
      <c r="X173" s="19">
        <f t="shared" si="57"/>
        <v>0</v>
      </c>
      <c r="Y173" s="50"/>
    </row>
    <row r="174" spans="1:25" ht="39" customHeight="1" outlineLevel="1" x14ac:dyDescent="0.25">
      <c r="A174" s="16" t="s">
        <v>195</v>
      </c>
      <c r="B174" s="17" t="s">
        <v>196</v>
      </c>
      <c r="C174" s="18" t="s">
        <v>102</v>
      </c>
      <c r="D174" s="51">
        <v>0</v>
      </c>
      <c r="E174" s="51">
        <v>0.62</v>
      </c>
      <c r="F174" s="51">
        <v>1.21</v>
      </c>
      <c r="G174" s="51">
        <v>0.98</v>
      </c>
      <c r="H174" s="51">
        <v>0.88</v>
      </c>
      <c r="I174" s="62">
        <v>0</v>
      </c>
      <c r="J174" s="105">
        <f t="shared" si="51"/>
        <v>3.69</v>
      </c>
      <c r="K174" s="63">
        <v>1.43</v>
      </c>
      <c r="L174" s="51">
        <v>1.71</v>
      </c>
      <c r="M174" s="51">
        <v>2.14</v>
      </c>
      <c r="N174" s="51">
        <v>0</v>
      </c>
      <c r="O174" s="51">
        <v>1.42</v>
      </c>
      <c r="P174" s="62">
        <v>0</v>
      </c>
      <c r="Q174" s="105">
        <f t="shared" si="52"/>
        <v>6.6999999999999993</v>
      </c>
      <c r="R174" s="92">
        <f t="shared" si="53"/>
        <v>10.389999999999999</v>
      </c>
      <c r="S174" s="84"/>
      <c r="T174" s="47"/>
      <c r="U174" s="19">
        <f t="shared" si="54"/>
        <v>0</v>
      </c>
      <c r="V174" s="19">
        <f t="shared" si="55"/>
        <v>0</v>
      </c>
      <c r="W174" s="19">
        <f t="shared" si="56"/>
        <v>0</v>
      </c>
      <c r="X174" s="19">
        <f t="shared" si="57"/>
        <v>0</v>
      </c>
      <c r="Y174" s="50"/>
    </row>
    <row r="175" spans="1:25" ht="39" customHeight="1" outlineLevel="1" x14ac:dyDescent="0.25">
      <c r="A175" s="16" t="s">
        <v>197</v>
      </c>
      <c r="B175" s="17" t="s">
        <v>198</v>
      </c>
      <c r="C175" s="18" t="s">
        <v>102</v>
      </c>
      <c r="D175" s="51">
        <v>0</v>
      </c>
      <c r="E175" s="51">
        <v>0</v>
      </c>
      <c r="F175" s="51">
        <v>8.69</v>
      </c>
      <c r="G175" s="51">
        <v>4.54</v>
      </c>
      <c r="H175" s="51">
        <v>3.56</v>
      </c>
      <c r="I175" s="62">
        <v>0</v>
      </c>
      <c r="J175" s="105">
        <f t="shared" si="51"/>
        <v>16.79</v>
      </c>
      <c r="K175" s="63">
        <v>5.57</v>
      </c>
      <c r="L175" s="51">
        <v>6.38</v>
      </c>
      <c r="M175" s="51">
        <v>7.19</v>
      </c>
      <c r="N175" s="51">
        <v>0</v>
      </c>
      <c r="O175" s="51">
        <v>0</v>
      </c>
      <c r="P175" s="62">
        <v>0</v>
      </c>
      <c r="Q175" s="105">
        <f t="shared" si="52"/>
        <v>19.14</v>
      </c>
      <c r="R175" s="92">
        <f t="shared" si="53"/>
        <v>35.93</v>
      </c>
      <c r="S175" s="84"/>
      <c r="T175" s="47"/>
      <c r="U175" s="19">
        <f t="shared" si="54"/>
        <v>0</v>
      </c>
      <c r="V175" s="19">
        <f t="shared" si="55"/>
        <v>0</v>
      </c>
      <c r="W175" s="19">
        <f t="shared" si="56"/>
        <v>0</v>
      </c>
      <c r="X175" s="19">
        <f t="shared" si="57"/>
        <v>0</v>
      </c>
      <c r="Y175" s="50"/>
    </row>
    <row r="176" spans="1:25" ht="39" customHeight="1" outlineLevel="1" x14ac:dyDescent="0.25">
      <c r="A176" s="16" t="s">
        <v>199</v>
      </c>
      <c r="B176" s="17" t="s">
        <v>200</v>
      </c>
      <c r="C176" s="18" t="s">
        <v>102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62">
        <v>0</v>
      </c>
      <c r="J176" s="105">
        <f t="shared" si="51"/>
        <v>0</v>
      </c>
      <c r="K176" s="63">
        <v>0</v>
      </c>
      <c r="L176" s="51">
        <v>0</v>
      </c>
      <c r="M176" s="51">
        <v>0</v>
      </c>
      <c r="N176" s="51">
        <v>0</v>
      </c>
      <c r="O176" s="51">
        <v>1.84</v>
      </c>
      <c r="P176" s="62">
        <v>3.64</v>
      </c>
      <c r="Q176" s="105">
        <f t="shared" si="52"/>
        <v>5.48</v>
      </c>
      <c r="R176" s="92">
        <f t="shared" si="53"/>
        <v>5.48</v>
      </c>
      <c r="S176" s="84"/>
      <c r="T176" s="47"/>
      <c r="U176" s="19">
        <f t="shared" si="54"/>
        <v>0</v>
      </c>
      <c r="V176" s="19">
        <f t="shared" si="55"/>
        <v>0</v>
      </c>
      <c r="W176" s="19">
        <f t="shared" si="56"/>
        <v>0</v>
      </c>
      <c r="X176" s="19">
        <f t="shared" si="57"/>
        <v>0</v>
      </c>
      <c r="Y176" s="50"/>
    </row>
    <row r="177" spans="1:25" ht="39" customHeight="1" outlineLevel="1" x14ac:dyDescent="0.25">
      <c r="A177" s="16" t="s">
        <v>201</v>
      </c>
      <c r="B177" s="17" t="s">
        <v>202</v>
      </c>
      <c r="C177" s="18" t="s">
        <v>102</v>
      </c>
      <c r="D177" s="51">
        <v>16.850000000000001</v>
      </c>
      <c r="E177" s="51">
        <v>0</v>
      </c>
      <c r="F177" s="51">
        <v>0</v>
      </c>
      <c r="G177" s="51">
        <v>4.13</v>
      </c>
      <c r="H177" s="51">
        <v>3.11</v>
      </c>
      <c r="I177" s="62">
        <v>9.39</v>
      </c>
      <c r="J177" s="105">
        <f t="shared" si="51"/>
        <v>33.480000000000004</v>
      </c>
      <c r="K177" s="63">
        <v>6.14</v>
      </c>
      <c r="L177" s="51">
        <v>17.7</v>
      </c>
      <c r="M177" s="51">
        <v>18.91</v>
      </c>
      <c r="N177" s="51">
        <v>0</v>
      </c>
      <c r="O177" s="51">
        <v>0</v>
      </c>
      <c r="P177" s="62">
        <v>0</v>
      </c>
      <c r="Q177" s="105">
        <f t="shared" si="52"/>
        <v>42.75</v>
      </c>
      <c r="R177" s="92">
        <f t="shared" si="53"/>
        <v>76.23</v>
      </c>
      <c r="S177" s="84"/>
      <c r="T177" s="47"/>
      <c r="U177" s="19">
        <f t="shared" si="54"/>
        <v>0</v>
      </c>
      <c r="V177" s="19">
        <f t="shared" si="55"/>
        <v>0</v>
      </c>
      <c r="W177" s="19">
        <f t="shared" si="56"/>
        <v>0</v>
      </c>
      <c r="X177" s="19">
        <f t="shared" si="57"/>
        <v>0</v>
      </c>
      <c r="Y177" s="50"/>
    </row>
    <row r="178" spans="1:25" ht="39" customHeight="1" outlineLevel="1" x14ac:dyDescent="0.25">
      <c r="A178" s="16" t="s">
        <v>203</v>
      </c>
      <c r="B178" s="17" t="s">
        <v>204</v>
      </c>
      <c r="C178" s="18" t="s">
        <v>102</v>
      </c>
      <c r="D178" s="51">
        <v>58.2</v>
      </c>
      <c r="E178" s="51">
        <v>107.67</v>
      </c>
      <c r="F178" s="51">
        <v>4.38</v>
      </c>
      <c r="G178" s="51">
        <v>64.400000000000006</v>
      </c>
      <c r="H178" s="51">
        <v>74.599999999999994</v>
      </c>
      <c r="I178" s="62">
        <v>50.78</v>
      </c>
      <c r="J178" s="105">
        <f t="shared" si="51"/>
        <v>360.03</v>
      </c>
      <c r="K178" s="63">
        <v>71.73</v>
      </c>
      <c r="L178" s="51">
        <v>81.14</v>
      </c>
      <c r="M178" s="51">
        <v>87.93</v>
      </c>
      <c r="N178" s="51">
        <v>24.09</v>
      </c>
      <c r="O178" s="51">
        <v>17.52</v>
      </c>
      <c r="P178" s="62">
        <v>3.18</v>
      </c>
      <c r="Q178" s="105">
        <f t="shared" si="52"/>
        <v>285.58999999999997</v>
      </c>
      <c r="R178" s="92">
        <f t="shared" si="53"/>
        <v>645.61999999999989</v>
      </c>
      <c r="S178" s="84"/>
      <c r="T178" s="47"/>
      <c r="U178" s="19">
        <f t="shared" si="54"/>
        <v>0</v>
      </c>
      <c r="V178" s="19">
        <f t="shared" si="55"/>
        <v>0</v>
      </c>
      <c r="W178" s="19">
        <f t="shared" si="56"/>
        <v>0</v>
      </c>
      <c r="X178" s="19">
        <f t="shared" si="57"/>
        <v>0</v>
      </c>
      <c r="Y178" s="50"/>
    </row>
    <row r="179" spans="1:25" ht="39" customHeight="1" outlineLevel="1" x14ac:dyDescent="0.25">
      <c r="A179" s="16" t="s">
        <v>205</v>
      </c>
      <c r="B179" s="17" t="s">
        <v>206</v>
      </c>
      <c r="C179" s="18" t="s">
        <v>102</v>
      </c>
      <c r="D179" s="51">
        <v>78.63</v>
      </c>
      <c r="E179" s="51">
        <v>92.76</v>
      </c>
      <c r="F179" s="51">
        <v>0</v>
      </c>
      <c r="G179" s="51">
        <v>0</v>
      </c>
      <c r="H179" s="51">
        <v>0</v>
      </c>
      <c r="I179" s="62">
        <v>30.98</v>
      </c>
      <c r="J179" s="105">
        <f t="shared" si="51"/>
        <v>202.36999999999998</v>
      </c>
      <c r="K179" s="63">
        <v>40.64</v>
      </c>
      <c r="L179" s="51">
        <v>42.2</v>
      </c>
      <c r="M179" s="51">
        <v>45.65</v>
      </c>
      <c r="N179" s="51">
        <v>25.22</v>
      </c>
      <c r="O179" s="51">
        <v>15.52</v>
      </c>
      <c r="P179" s="62">
        <v>0</v>
      </c>
      <c r="Q179" s="105">
        <f t="shared" si="52"/>
        <v>169.23000000000002</v>
      </c>
      <c r="R179" s="92">
        <f t="shared" si="53"/>
        <v>371.6</v>
      </c>
      <c r="S179" s="84"/>
      <c r="T179" s="47"/>
      <c r="U179" s="19">
        <f t="shared" si="54"/>
        <v>0</v>
      </c>
      <c r="V179" s="19">
        <f t="shared" si="55"/>
        <v>0</v>
      </c>
      <c r="W179" s="19">
        <f t="shared" si="56"/>
        <v>0</v>
      </c>
      <c r="X179" s="19">
        <f t="shared" si="57"/>
        <v>0</v>
      </c>
      <c r="Y179" s="50"/>
    </row>
    <row r="180" spans="1:25" ht="39" customHeight="1" outlineLevel="1" x14ac:dyDescent="0.25">
      <c r="A180" s="16" t="s">
        <v>207</v>
      </c>
      <c r="B180" s="17" t="s">
        <v>208</v>
      </c>
      <c r="C180" s="18" t="s">
        <v>102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62">
        <v>2.2200000000000002</v>
      </c>
      <c r="J180" s="105">
        <f t="shared" si="51"/>
        <v>2.2200000000000002</v>
      </c>
      <c r="K180" s="63">
        <v>1.98</v>
      </c>
      <c r="L180" s="51">
        <v>3.13</v>
      </c>
      <c r="M180" s="51">
        <v>4.28</v>
      </c>
      <c r="N180" s="51">
        <v>0</v>
      </c>
      <c r="O180" s="51">
        <v>0</v>
      </c>
      <c r="P180" s="62">
        <v>0</v>
      </c>
      <c r="Q180" s="105">
        <f t="shared" si="52"/>
        <v>9.39</v>
      </c>
      <c r="R180" s="92">
        <f t="shared" si="53"/>
        <v>11.610000000000001</v>
      </c>
      <c r="S180" s="84"/>
      <c r="T180" s="47"/>
      <c r="U180" s="19">
        <f t="shared" si="54"/>
        <v>0</v>
      </c>
      <c r="V180" s="19">
        <f t="shared" si="55"/>
        <v>0</v>
      </c>
      <c r="W180" s="19">
        <f t="shared" si="56"/>
        <v>0</v>
      </c>
      <c r="X180" s="19">
        <f t="shared" si="57"/>
        <v>0</v>
      </c>
      <c r="Y180" s="50"/>
    </row>
    <row r="181" spans="1:25" ht="39" customHeight="1" outlineLevel="1" x14ac:dyDescent="0.25">
      <c r="A181" s="16" t="s">
        <v>209</v>
      </c>
      <c r="B181" s="17" t="s">
        <v>210</v>
      </c>
      <c r="C181" s="18" t="s">
        <v>102</v>
      </c>
      <c r="D181" s="51">
        <v>0</v>
      </c>
      <c r="E181" s="51">
        <v>48.32</v>
      </c>
      <c r="F181" s="51">
        <v>104.2</v>
      </c>
      <c r="G181" s="51">
        <v>22.7</v>
      </c>
      <c r="H181" s="51">
        <v>28.21</v>
      </c>
      <c r="I181" s="62">
        <v>0</v>
      </c>
      <c r="J181" s="105">
        <f t="shared" si="51"/>
        <v>203.43</v>
      </c>
      <c r="K181" s="63">
        <v>57.3</v>
      </c>
      <c r="L181" s="51">
        <v>59.58</v>
      </c>
      <c r="M181" s="51">
        <v>67.87</v>
      </c>
      <c r="N181" s="51">
        <v>0</v>
      </c>
      <c r="O181" s="51">
        <v>0</v>
      </c>
      <c r="P181" s="62">
        <v>0</v>
      </c>
      <c r="Q181" s="105">
        <f t="shared" si="52"/>
        <v>184.75</v>
      </c>
      <c r="R181" s="92">
        <f t="shared" si="53"/>
        <v>388.18</v>
      </c>
      <c r="S181" s="84"/>
      <c r="T181" s="47"/>
      <c r="U181" s="19">
        <f t="shared" si="54"/>
        <v>0</v>
      </c>
      <c r="V181" s="19">
        <f t="shared" si="55"/>
        <v>0</v>
      </c>
      <c r="W181" s="19">
        <f t="shared" si="56"/>
        <v>0</v>
      </c>
      <c r="X181" s="19">
        <f t="shared" si="57"/>
        <v>0</v>
      </c>
      <c r="Y181" s="50"/>
    </row>
    <row r="182" spans="1:25" ht="39" customHeight="1" outlineLevel="1" x14ac:dyDescent="0.25">
      <c r="A182" s="16" t="s">
        <v>211</v>
      </c>
      <c r="B182" s="17" t="s">
        <v>212</v>
      </c>
      <c r="C182" s="18" t="s">
        <v>98</v>
      </c>
      <c r="D182" s="51">
        <v>162</v>
      </c>
      <c r="E182" s="51">
        <v>92</v>
      </c>
      <c r="F182" s="51">
        <v>175</v>
      </c>
      <c r="G182" s="51">
        <v>124</v>
      </c>
      <c r="H182" s="51">
        <v>110</v>
      </c>
      <c r="I182" s="62">
        <v>106</v>
      </c>
      <c r="J182" s="105">
        <f t="shared" si="51"/>
        <v>769</v>
      </c>
      <c r="K182" s="63">
        <v>160</v>
      </c>
      <c r="L182" s="51">
        <v>162</v>
      </c>
      <c r="M182" s="51">
        <v>160</v>
      </c>
      <c r="N182" s="51">
        <v>0</v>
      </c>
      <c r="O182" s="51">
        <v>74</v>
      </c>
      <c r="P182" s="62">
        <v>124</v>
      </c>
      <c r="Q182" s="105">
        <f t="shared" si="52"/>
        <v>680</v>
      </c>
      <c r="R182" s="92">
        <f t="shared" si="53"/>
        <v>1449</v>
      </c>
      <c r="S182" s="84"/>
      <c r="T182" s="47"/>
      <c r="U182" s="19">
        <f t="shared" si="54"/>
        <v>0</v>
      </c>
      <c r="V182" s="19">
        <f t="shared" si="55"/>
        <v>0</v>
      </c>
      <c r="W182" s="19">
        <f t="shared" si="56"/>
        <v>0</v>
      </c>
      <c r="X182" s="19">
        <f t="shared" si="57"/>
        <v>0</v>
      </c>
      <c r="Y182" s="50"/>
    </row>
    <row r="183" spans="1:25" ht="39" customHeight="1" outlineLevel="1" x14ac:dyDescent="0.25">
      <c r="A183" s="16" t="s">
        <v>213</v>
      </c>
      <c r="B183" s="17" t="s">
        <v>214</v>
      </c>
      <c r="C183" s="18" t="s">
        <v>98</v>
      </c>
      <c r="D183" s="51">
        <v>286</v>
      </c>
      <c r="E183" s="51">
        <v>214</v>
      </c>
      <c r="F183" s="51">
        <v>248</v>
      </c>
      <c r="G183" s="51">
        <v>248</v>
      </c>
      <c r="H183" s="51">
        <v>248</v>
      </c>
      <c r="I183" s="62">
        <v>280</v>
      </c>
      <c r="J183" s="105">
        <f t="shared" si="51"/>
        <v>1524</v>
      </c>
      <c r="K183" s="63">
        <v>248</v>
      </c>
      <c r="L183" s="51">
        <v>212</v>
      </c>
      <c r="M183" s="51">
        <v>212</v>
      </c>
      <c r="N183" s="51">
        <v>183</v>
      </c>
      <c r="O183" s="51">
        <v>197</v>
      </c>
      <c r="P183" s="62">
        <v>238</v>
      </c>
      <c r="Q183" s="105">
        <f t="shared" si="52"/>
        <v>1290</v>
      </c>
      <c r="R183" s="92">
        <f t="shared" si="53"/>
        <v>2814</v>
      </c>
      <c r="S183" s="84"/>
      <c r="T183" s="47"/>
      <c r="U183" s="19">
        <f t="shared" si="54"/>
        <v>0</v>
      </c>
      <c r="V183" s="19">
        <f t="shared" si="55"/>
        <v>0</v>
      </c>
      <c r="W183" s="19">
        <f t="shared" si="56"/>
        <v>0</v>
      </c>
      <c r="X183" s="19">
        <f t="shared" si="57"/>
        <v>0</v>
      </c>
      <c r="Y183" s="50"/>
    </row>
    <row r="184" spans="1:25" ht="39" customHeight="1" outlineLevel="1" x14ac:dyDescent="0.25">
      <c r="A184" s="16" t="s">
        <v>215</v>
      </c>
      <c r="B184" s="17" t="s">
        <v>216</v>
      </c>
      <c r="C184" s="18" t="s">
        <v>98</v>
      </c>
      <c r="D184" s="51">
        <v>15</v>
      </c>
      <c r="E184" s="51">
        <v>6</v>
      </c>
      <c r="F184" s="51">
        <v>6</v>
      </c>
      <c r="G184" s="51">
        <v>12</v>
      </c>
      <c r="H184" s="51">
        <v>0</v>
      </c>
      <c r="I184" s="62">
        <v>24</v>
      </c>
      <c r="J184" s="105">
        <f t="shared" si="51"/>
        <v>63</v>
      </c>
      <c r="K184" s="63">
        <v>15</v>
      </c>
      <c r="L184" s="51">
        <v>15</v>
      </c>
      <c r="M184" s="51">
        <v>21</v>
      </c>
      <c r="N184" s="51">
        <v>0</v>
      </c>
      <c r="O184" s="51">
        <v>21</v>
      </c>
      <c r="P184" s="62">
        <v>39</v>
      </c>
      <c r="Q184" s="105">
        <f t="shared" si="52"/>
        <v>111</v>
      </c>
      <c r="R184" s="92">
        <f t="shared" si="53"/>
        <v>174</v>
      </c>
      <c r="S184" s="84"/>
      <c r="T184" s="47"/>
      <c r="U184" s="19">
        <f t="shared" si="54"/>
        <v>0</v>
      </c>
      <c r="V184" s="19">
        <f t="shared" si="55"/>
        <v>0</v>
      </c>
      <c r="W184" s="19">
        <f t="shared" si="56"/>
        <v>0</v>
      </c>
      <c r="X184" s="19">
        <f t="shared" si="57"/>
        <v>0</v>
      </c>
      <c r="Y184" s="50"/>
    </row>
    <row r="185" spans="1:25" ht="39" customHeight="1" outlineLevel="1" x14ac:dyDescent="0.25">
      <c r="A185" s="16" t="s">
        <v>217</v>
      </c>
      <c r="B185" s="17" t="s">
        <v>218</v>
      </c>
      <c r="C185" s="18" t="s">
        <v>98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62">
        <v>0</v>
      </c>
      <c r="J185" s="105">
        <f t="shared" si="51"/>
        <v>0</v>
      </c>
      <c r="K185" s="63">
        <v>4</v>
      </c>
      <c r="L185" s="51">
        <v>0</v>
      </c>
      <c r="M185" s="51">
        <v>2</v>
      </c>
      <c r="N185" s="51">
        <v>8</v>
      </c>
      <c r="O185" s="51">
        <v>0</v>
      </c>
      <c r="P185" s="62">
        <v>0</v>
      </c>
      <c r="Q185" s="105">
        <f t="shared" si="52"/>
        <v>14</v>
      </c>
      <c r="R185" s="92">
        <f t="shared" si="53"/>
        <v>14</v>
      </c>
      <c r="S185" s="84"/>
      <c r="T185" s="47"/>
      <c r="U185" s="19">
        <f t="shared" si="54"/>
        <v>0</v>
      </c>
      <c r="V185" s="19">
        <f t="shared" si="55"/>
        <v>0</v>
      </c>
      <c r="W185" s="19">
        <f t="shared" si="56"/>
        <v>0</v>
      </c>
      <c r="X185" s="19">
        <f t="shared" si="57"/>
        <v>0</v>
      </c>
      <c r="Y185" s="50"/>
    </row>
    <row r="186" spans="1:25" ht="39" customHeight="1" outlineLevel="1" x14ac:dyDescent="0.25">
      <c r="A186" s="16" t="s">
        <v>219</v>
      </c>
      <c r="B186" s="17" t="s">
        <v>220</v>
      </c>
      <c r="C186" s="18" t="s">
        <v>98</v>
      </c>
      <c r="D186" s="51">
        <v>0</v>
      </c>
      <c r="E186" s="51">
        <v>2</v>
      </c>
      <c r="F186" s="51">
        <v>4</v>
      </c>
      <c r="G186" s="51">
        <v>4</v>
      </c>
      <c r="H186" s="51">
        <v>4</v>
      </c>
      <c r="I186" s="62">
        <v>0</v>
      </c>
      <c r="J186" s="105">
        <f t="shared" si="51"/>
        <v>14</v>
      </c>
      <c r="K186" s="63">
        <v>0</v>
      </c>
      <c r="L186" s="51">
        <v>4</v>
      </c>
      <c r="M186" s="51">
        <v>0</v>
      </c>
      <c r="N186" s="51">
        <v>0</v>
      </c>
      <c r="O186" s="51">
        <v>4</v>
      </c>
      <c r="P186" s="62">
        <v>0</v>
      </c>
      <c r="Q186" s="105">
        <f t="shared" si="52"/>
        <v>8</v>
      </c>
      <c r="R186" s="92">
        <f t="shared" si="53"/>
        <v>22</v>
      </c>
      <c r="S186" s="84"/>
      <c r="T186" s="47"/>
      <c r="U186" s="19">
        <f t="shared" si="54"/>
        <v>0</v>
      </c>
      <c r="V186" s="19">
        <f t="shared" si="55"/>
        <v>0</v>
      </c>
      <c r="W186" s="19">
        <f t="shared" si="56"/>
        <v>0</v>
      </c>
      <c r="X186" s="19">
        <f t="shared" si="57"/>
        <v>0</v>
      </c>
      <c r="Y186" s="50"/>
    </row>
    <row r="187" spans="1:25" ht="39" customHeight="1" outlineLevel="1" x14ac:dyDescent="0.25">
      <c r="A187" s="16" t="s">
        <v>221</v>
      </c>
      <c r="B187" s="17" t="s">
        <v>222</v>
      </c>
      <c r="C187" s="18" t="s">
        <v>98</v>
      </c>
      <c r="D187" s="51">
        <v>0</v>
      </c>
      <c r="E187" s="51">
        <v>0</v>
      </c>
      <c r="F187" s="51">
        <v>16</v>
      </c>
      <c r="G187" s="51">
        <v>0</v>
      </c>
      <c r="H187" s="51">
        <v>0</v>
      </c>
      <c r="I187" s="62">
        <v>0</v>
      </c>
      <c r="J187" s="105">
        <f t="shared" si="51"/>
        <v>16</v>
      </c>
      <c r="K187" s="63">
        <v>16</v>
      </c>
      <c r="L187" s="51">
        <v>0</v>
      </c>
      <c r="M187" s="51">
        <v>12</v>
      </c>
      <c r="N187" s="51">
        <v>0</v>
      </c>
      <c r="O187" s="51">
        <v>0</v>
      </c>
      <c r="P187" s="62">
        <v>0</v>
      </c>
      <c r="Q187" s="105">
        <f t="shared" si="52"/>
        <v>28</v>
      </c>
      <c r="R187" s="92">
        <f t="shared" si="53"/>
        <v>44</v>
      </c>
      <c r="S187" s="84"/>
      <c r="T187" s="47"/>
      <c r="U187" s="19">
        <f t="shared" si="54"/>
        <v>0</v>
      </c>
      <c r="V187" s="19">
        <f t="shared" si="55"/>
        <v>0</v>
      </c>
      <c r="W187" s="19">
        <f t="shared" si="56"/>
        <v>0</v>
      </c>
      <c r="X187" s="19">
        <f t="shared" si="57"/>
        <v>0</v>
      </c>
      <c r="Y187" s="50"/>
    </row>
    <row r="188" spans="1:25" ht="39" customHeight="1" outlineLevel="1" thickBot="1" x14ac:dyDescent="0.3">
      <c r="A188" s="16" t="s">
        <v>223</v>
      </c>
      <c r="B188" s="17" t="s">
        <v>224</v>
      </c>
      <c r="C188" s="18" t="s">
        <v>98</v>
      </c>
      <c r="D188" s="51">
        <v>66</v>
      </c>
      <c r="E188" s="51">
        <v>0</v>
      </c>
      <c r="F188" s="51">
        <v>0</v>
      </c>
      <c r="G188" s="51">
        <v>0</v>
      </c>
      <c r="H188" s="51">
        <v>66</v>
      </c>
      <c r="I188" s="62">
        <v>36</v>
      </c>
      <c r="J188" s="106">
        <f t="shared" si="51"/>
        <v>168</v>
      </c>
      <c r="K188" s="63">
        <v>36</v>
      </c>
      <c r="L188" s="51">
        <v>0</v>
      </c>
      <c r="M188" s="51">
        <v>66</v>
      </c>
      <c r="N188" s="51">
        <v>0</v>
      </c>
      <c r="O188" s="51">
        <v>0</v>
      </c>
      <c r="P188" s="62">
        <v>0</v>
      </c>
      <c r="Q188" s="106">
        <f t="shared" si="52"/>
        <v>102</v>
      </c>
      <c r="R188" s="93">
        <f t="shared" si="53"/>
        <v>270</v>
      </c>
      <c r="S188" s="84"/>
      <c r="T188" s="47"/>
      <c r="U188" s="19">
        <f t="shared" si="54"/>
        <v>0</v>
      </c>
      <c r="V188" s="19">
        <f t="shared" si="55"/>
        <v>0</v>
      </c>
      <c r="W188" s="19">
        <f t="shared" si="56"/>
        <v>0</v>
      </c>
      <c r="X188" s="19">
        <f t="shared" si="57"/>
        <v>0</v>
      </c>
      <c r="Y188" s="50"/>
    </row>
    <row r="189" spans="1:25" ht="33.75" customHeight="1" thickBot="1" x14ac:dyDescent="0.3">
      <c r="A189" s="9" t="s">
        <v>225</v>
      </c>
      <c r="B189" s="10" t="s">
        <v>226</v>
      </c>
      <c r="C189" s="11"/>
      <c r="D189" s="12"/>
      <c r="E189" s="12"/>
      <c r="F189" s="12"/>
      <c r="G189" s="12"/>
      <c r="H189" s="12"/>
      <c r="I189" s="12"/>
      <c r="J189" s="101"/>
      <c r="K189" s="12"/>
      <c r="L189" s="12"/>
      <c r="M189" s="12"/>
      <c r="N189" s="12"/>
      <c r="O189" s="12"/>
      <c r="P189" s="12"/>
      <c r="Q189" s="101"/>
      <c r="R189" s="88"/>
      <c r="S189" s="15"/>
      <c r="T189" s="15"/>
      <c r="U189" s="15"/>
      <c r="V189" s="14">
        <f>SUM(V190:V253)</f>
        <v>0</v>
      </c>
      <c r="W189" s="14">
        <f>SUM(W190:W253)</f>
        <v>0</v>
      </c>
      <c r="X189" s="14">
        <f>SUM(X190:X253)</f>
        <v>0</v>
      </c>
      <c r="Y189" s="49"/>
    </row>
    <row r="190" spans="1:25" ht="30.75" customHeight="1" outlineLevel="1" x14ac:dyDescent="0.25">
      <c r="A190" s="60" t="s">
        <v>227</v>
      </c>
      <c r="B190" s="58" t="s">
        <v>228</v>
      </c>
      <c r="C190" s="59" t="s">
        <v>98</v>
      </c>
      <c r="D190" s="51">
        <v>67</v>
      </c>
      <c r="E190" s="51">
        <v>55</v>
      </c>
      <c r="F190" s="51">
        <v>85</v>
      </c>
      <c r="G190" s="51">
        <v>62</v>
      </c>
      <c r="H190" s="51">
        <f>55+11</f>
        <v>66</v>
      </c>
      <c r="I190" s="62">
        <v>14</v>
      </c>
      <c r="J190" s="107">
        <f t="shared" ref="J190:J253" si="58">SUM(D190:I190)</f>
        <v>349</v>
      </c>
      <c r="K190" s="63">
        <v>31</v>
      </c>
      <c r="L190" s="51">
        <v>38</v>
      </c>
      <c r="M190" s="51">
        <v>19</v>
      </c>
      <c r="N190" s="51">
        <v>33</v>
      </c>
      <c r="O190" s="51">
        <v>23</v>
      </c>
      <c r="P190" s="62">
        <v>66</v>
      </c>
      <c r="Q190" s="107">
        <f t="shared" ref="Q190:Q253" si="59">SUM(K190:P190)</f>
        <v>210</v>
      </c>
      <c r="R190" s="94">
        <f t="shared" ref="R190:R253" si="60">J190+Q190</f>
        <v>559</v>
      </c>
      <c r="S190" s="84"/>
      <c r="T190" s="47"/>
      <c r="U190" s="19">
        <f t="shared" ref="U190:U225" si="61">T190+S190</f>
        <v>0</v>
      </c>
      <c r="V190" s="19">
        <f t="shared" ref="V190:V225" si="62">R190*S190</f>
        <v>0</v>
      </c>
      <c r="W190" s="19">
        <f t="shared" ref="W190:W225" si="63">T190*R190</f>
        <v>0</v>
      </c>
      <c r="X190" s="19">
        <f t="shared" ref="X190:X225" si="64">W190+V190</f>
        <v>0</v>
      </c>
      <c r="Y190" s="50"/>
    </row>
    <row r="191" spans="1:25" ht="30.75" customHeight="1" outlineLevel="1" x14ac:dyDescent="0.25">
      <c r="A191" s="60" t="s">
        <v>229</v>
      </c>
      <c r="B191" s="58" t="s">
        <v>230</v>
      </c>
      <c r="C191" s="59" t="s">
        <v>98</v>
      </c>
      <c r="D191" s="51">
        <v>23</v>
      </c>
      <c r="E191" s="51">
        <v>12</v>
      </c>
      <c r="F191" s="51">
        <v>11</v>
      </c>
      <c r="G191" s="51">
        <v>8</v>
      </c>
      <c r="H191" s="51">
        <v>8</v>
      </c>
      <c r="I191" s="62">
        <v>0</v>
      </c>
      <c r="J191" s="105">
        <f t="shared" si="58"/>
        <v>62</v>
      </c>
      <c r="K191" s="63">
        <v>0</v>
      </c>
      <c r="L191" s="51">
        <v>3</v>
      </c>
      <c r="M191" s="51">
        <v>4</v>
      </c>
      <c r="N191" s="51">
        <v>0</v>
      </c>
      <c r="O191" s="51">
        <v>0</v>
      </c>
      <c r="P191" s="62">
        <v>0</v>
      </c>
      <c r="Q191" s="105">
        <f t="shared" si="59"/>
        <v>7</v>
      </c>
      <c r="R191" s="92">
        <f t="shared" si="60"/>
        <v>69</v>
      </c>
      <c r="S191" s="84"/>
      <c r="T191" s="47"/>
      <c r="U191" s="19">
        <f t="shared" si="61"/>
        <v>0</v>
      </c>
      <c r="V191" s="19">
        <f t="shared" si="62"/>
        <v>0</v>
      </c>
      <c r="W191" s="19">
        <f t="shared" si="63"/>
        <v>0</v>
      </c>
      <c r="X191" s="19">
        <f t="shared" si="64"/>
        <v>0</v>
      </c>
      <c r="Y191" s="50"/>
    </row>
    <row r="192" spans="1:25" ht="30.75" customHeight="1" outlineLevel="1" x14ac:dyDescent="0.25">
      <c r="A192" s="60" t="s">
        <v>231</v>
      </c>
      <c r="B192" s="58" t="s">
        <v>522</v>
      </c>
      <c r="C192" s="59" t="s">
        <v>98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62">
        <v>22</v>
      </c>
      <c r="J192" s="105">
        <f t="shared" si="58"/>
        <v>22</v>
      </c>
      <c r="K192" s="63">
        <v>0</v>
      </c>
      <c r="L192" s="51">
        <v>0</v>
      </c>
      <c r="M192" s="51">
        <v>0</v>
      </c>
      <c r="N192" s="51">
        <v>0</v>
      </c>
      <c r="O192" s="51">
        <v>0</v>
      </c>
      <c r="P192" s="62">
        <v>12</v>
      </c>
      <c r="Q192" s="105">
        <f t="shared" si="59"/>
        <v>12</v>
      </c>
      <c r="R192" s="92">
        <f t="shared" si="60"/>
        <v>34</v>
      </c>
      <c r="S192" s="84"/>
      <c r="T192" s="47"/>
      <c r="U192" s="19">
        <f t="shared" si="61"/>
        <v>0</v>
      </c>
      <c r="V192" s="19">
        <f t="shared" si="62"/>
        <v>0</v>
      </c>
      <c r="W192" s="19">
        <f t="shared" si="63"/>
        <v>0</v>
      </c>
      <c r="X192" s="19">
        <f t="shared" si="64"/>
        <v>0</v>
      </c>
      <c r="Y192" s="50"/>
    </row>
    <row r="193" spans="1:25" ht="30.75" customHeight="1" outlineLevel="1" x14ac:dyDescent="0.25">
      <c r="A193" s="60" t="s">
        <v>232</v>
      </c>
      <c r="B193" s="58" t="s">
        <v>233</v>
      </c>
      <c r="C193" s="59" t="s">
        <v>98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62">
        <v>0</v>
      </c>
      <c r="J193" s="105">
        <f t="shared" si="58"/>
        <v>0</v>
      </c>
      <c r="K193" s="63">
        <v>36</v>
      </c>
      <c r="L193" s="51">
        <v>0</v>
      </c>
      <c r="M193" s="51">
        <v>0</v>
      </c>
      <c r="N193" s="51">
        <v>9</v>
      </c>
      <c r="O193" s="51">
        <v>23</v>
      </c>
      <c r="P193" s="62">
        <v>0</v>
      </c>
      <c r="Q193" s="105">
        <f t="shared" si="59"/>
        <v>68</v>
      </c>
      <c r="R193" s="92">
        <f t="shared" si="60"/>
        <v>68</v>
      </c>
      <c r="S193" s="84"/>
      <c r="T193" s="47"/>
      <c r="U193" s="19">
        <f t="shared" si="61"/>
        <v>0</v>
      </c>
      <c r="V193" s="19">
        <f t="shared" si="62"/>
        <v>0</v>
      </c>
      <c r="W193" s="19">
        <f t="shared" si="63"/>
        <v>0</v>
      </c>
      <c r="X193" s="19">
        <f t="shared" si="64"/>
        <v>0</v>
      </c>
      <c r="Y193" s="50"/>
    </row>
    <row r="194" spans="1:25" ht="30.75" customHeight="1" outlineLevel="1" x14ac:dyDescent="0.25">
      <c r="A194" s="60" t="s">
        <v>234</v>
      </c>
      <c r="B194" s="58" t="s">
        <v>523</v>
      </c>
      <c r="C194" s="59" t="s">
        <v>98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62">
        <v>4</v>
      </c>
      <c r="J194" s="105">
        <f t="shared" si="58"/>
        <v>4</v>
      </c>
      <c r="K194" s="63">
        <v>0</v>
      </c>
      <c r="L194" s="51">
        <v>0</v>
      </c>
      <c r="M194" s="51">
        <v>0</v>
      </c>
      <c r="N194" s="51">
        <v>0</v>
      </c>
      <c r="O194" s="51">
        <v>0</v>
      </c>
      <c r="P194" s="62">
        <v>2</v>
      </c>
      <c r="Q194" s="105">
        <f t="shared" si="59"/>
        <v>2</v>
      </c>
      <c r="R194" s="92">
        <f t="shared" si="60"/>
        <v>6</v>
      </c>
      <c r="S194" s="84"/>
      <c r="T194" s="47"/>
      <c r="U194" s="19">
        <f t="shared" si="61"/>
        <v>0</v>
      </c>
      <c r="V194" s="19">
        <f t="shared" si="62"/>
        <v>0</v>
      </c>
      <c r="W194" s="19">
        <f t="shared" si="63"/>
        <v>0</v>
      </c>
      <c r="X194" s="19">
        <f t="shared" si="64"/>
        <v>0</v>
      </c>
      <c r="Y194" s="50"/>
    </row>
    <row r="195" spans="1:25" ht="30.75" customHeight="1" outlineLevel="1" x14ac:dyDescent="0.25">
      <c r="A195" s="60" t="s">
        <v>235</v>
      </c>
      <c r="B195" s="58" t="s">
        <v>237</v>
      </c>
      <c r="C195" s="59" t="s">
        <v>98</v>
      </c>
      <c r="D195" s="51">
        <v>37</v>
      </c>
      <c r="E195" s="51">
        <v>11</v>
      </c>
      <c r="F195" s="51">
        <v>18</v>
      </c>
      <c r="G195" s="51">
        <v>23</v>
      </c>
      <c r="H195" s="51">
        <f>20+1</f>
        <v>21</v>
      </c>
      <c r="I195" s="62">
        <v>0</v>
      </c>
      <c r="J195" s="105">
        <f t="shared" si="58"/>
        <v>110</v>
      </c>
      <c r="K195" s="63">
        <v>0</v>
      </c>
      <c r="L195" s="51">
        <v>0</v>
      </c>
      <c r="M195" s="51">
        <v>0</v>
      </c>
      <c r="N195" s="51">
        <v>0</v>
      </c>
      <c r="O195" s="51">
        <v>0</v>
      </c>
      <c r="P195" s="62">
        <v>0</v>
      </c>
      <c r="Q195" s="105">
        <f t="shared" si="59"/>
        <v>0</v>
      </c>
      <c r="R195" s="92">
        <f t="shared" si="60"/>
        <v>110</v>
      </c>
      <c r="S195" s="84"/>
      <c r="T195" s="47"/>
      <c r="U195" s="19">
        <f t="shared" si="61"/>
        <v>0</v>
      </c>
      <c r="V195" s="19">
        <f t="shared" si="62"/>
        <v>0</v>
      </c>
      <c r="W195" s="19">
        <f t="shared" si="63"/>
        <v>0</v>
      </c>
      <c r="X195" s="19">
        <f t="shared" si="64"/>
        <v>0</v>
      </c>
      <c r="Y195" s="50"/>
    </row>
    <row r="196" spans="1:25" ht="30.75" customHeight="1" outlineLevel="1" x14ac:dyDescent="0.25">
      <c r="A196" s="60" t="s">
        <v>236</v>
      </c>
      <c r="B196" s="58" t="s">
        <v>240</v>
      </c>
      <c r="C196" s="59" t="s">
        <v>98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62">
        <v>0</v>
      </c>
      <c r="J196" s="105">
        <f t="shared" si="58"/>
        <v>0</v>
      </c>
      <c r="K196" s="63">
        <v>0</v>
      </c>
      <c r="L196" s="51">
        <v>0</v>
      </c>
      <c r="M196" s="51">
        <v>0</v>
      </c>
      <c r="N196" s="51">
        <v>13</v>
      </c>
      <c r="O196" s="51">
        <v>8</v>
      </c>
      <c r="P196" s="62">
        <v>0</v>
      </c>
      <c r="Q196" s="105">
        <f t="shared" si="59"/>
        <v>21</v>
      </c>
      <c r="R196" s="92">
        <f t="shared" si="60"/>
        <v>21</v>
      </c>
      <c r="S196" s="84"/>
      <c r="T196" s="47"/>
      <c r="U196" s="19">
        <f t="shared" si="61"/>
        <v>0</v>
      </c>
      <c r="V196" s="19">
        <f t="shared" si="62"/>
        <v>0</v>
      </c>
      <c r="W196" s="19">
        <f t="shared" si="63"/>
        <v>0</v>
      </c>
      <c r="X196" s="19">
        <f t="shared" si="64"/>
        <v>0</v>
      </c>
      <c r="Y196" s="50"/>
    </row>
    <row r="197" spans="1:25" ht="30.75" customHeight="1" outlineLevel="1" x14ac:dyDescent="0.25">
      <c r="A197" s="60" t="s">
        <v>238</v>
      </c>
      <c r="B197" s="58" t="s">
        <v>242</v>
      </c>
      <c r="C197" s="59" t="s">
        <v>98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62">
        <v>0</v>
      </c>
      <c r="J197" s="105">
        <f t="shared" si="58"/>
        <v>0</v>
      </c>
      <c r="K197" s="63">
        <v>4</v>
      </c>
      <c r="L197" s="51">
        <v>0</v>
      </c>
      <c r="M197" s="51">
        <v>0</v>
      </c>
      <c r="N197" s="51">
        <v>0</v>
      </c>
      <c r="O197" s="51">
        <v>0</v>
      </c>
      <c r="P197" s="62">
        <v>0</v>
      </c>
      <c r="Q197" s="105">
        <f t="shared" si="59"/>
        <v>4</v>
      </c>
      <c r="R197" s="92">
        <f t="shared" si="60"/>
        <v>4</v>
      </c>
      <c r="S197" s="84"/>
      <c r="T197" s="47"/>
      <c r="U197" s="19">
        <f t="shared" si="61"/>
        <v>0</v>
      </c>
      <c r="V197" s="19">
        <f t="shared" si="62"/>
        <v>0</v>
      </c>
      <c r="W197" s="19">
        <f t="shared" si="63"/>
        <v>0</v>
      </c>
      <c r="X197" s="19">
        <f t="shared" si="64"/>
        <v>0</v>
      </c>
      <c r="Y197" s="50"/>
    </row>
    <row r="198" spans="1:25" ht="30.75" customHeight="1" outlineLevel="1" x14ac:dyDescent="0.25">
      <c r="A198" s="60" t="s">
        <v>239</v>
      </c>
      <c r="B198" s="58" t="s">
        <v>244</v>
      </c>
      <c r="C198" s="59" t="s">
        <v>98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62">
        <v>0</v>
      </c>
      <c r="J198" s="105">
        <f t="shared" si="58"/>
        <v>0</v>
      </c>
      <c r="K198" s="63">
        <v>0</v>
      </c>
      <c r="L198" s="51">
        <v>22</v>
      </c>
      <c r="M198" s="51">
        <v>5</v>
      </c>
      <c r="N198" s="51">
        <v>0</v>
      </c>
      <c r="O198" s="51">
        <v>0</v>
      </c>
      <c r="P198" s="62">
        <v>0</v>
      </c>
      <c r="Q198" s="105">
        <f t="shared" si="59"/>
        <v>27</v>
      </c>
      <c r="R198" s="92">
        <f t="shared" si="60"/>
        <v>27</v>
      </c>
      <c r="S198" s="84"/>
      <c r="T198" s="47"/>
      <c r="U198" s="19">
        <f t="shared" si="61"/>
        <v>0</v>
      </c>
      <c r="V198" s="19">
        <f t="shared" si="62"/>
        <v>0</v>
      </c>
      <c r="W198" s="19">
        <f t="shared" si="63"/>
        <v>0</v>
      </c>
      <c r="X198" s="19">
        <f t="shared" si="64"/>
        <v>0</v>
      </c>
      <c r="Y198" s="50"/>
    </row>
    <row r="199" spans="1:25" ht="30.75" customHeight="1" outlineLevel="1" x14ac:dyDescent="0.25">
      <c r="A199" s="60" t="s">
        <v>241</v>
      </c>
      <c r="B199" s="58" t="s">
        <v>524</v>
      </c>
      <c r="C199" s="59" t="s">
        <v>98</v>
      </c>
      <c r="D199" s="51">
        <v>16</v>
      </c>
      <c r="E199" s="51">
        <v>10</v>
      </c>
      <c r="F199" s="51">
        <v>4</v>
      </c>
      <c r="G199" s="51">
        <v>0</v>
      </c>
      <c r="H199" s="51">
        <v>0</v>
      </c>
      <c r="I199" s="62">
        <v>0</v>
      </c>
      <c r="J199" s="105">
        <f t="shared" si="58"/>
        <v>30</v>
      </c>
      <c r="K199" s="63">
        <v>0</v>
      </c>
      <c r="L199" s="51">
        <v>0</v>
      </c>
      <c r="M199" s="51">
        <v>0</v>
      </c>
      <c r="N199" s="51">
        <v>0</v>
      </c>
      <c r="O199" s="51">
        <v>0</v>
      </c>
      <c r="P199" s="62">
        <v>0</v>
      </c>
      <c r="Q199" s="105">
        <f t="shared" si="59"/>
        <v>0</v>
      </c>
      <c r="R199" s="92">
        <f t="shared" si="60"/>
        <v>30</v>
      </c>
      <c r="S199" s="84"/>
      <c r="T199" s="47"/>
      <c r="U199" s="19">
        <f t="shared" si="61"/>
        <v>0</v>
      </c>
      <c r="V199" s="19">
        <f t="shared" si="62"/>
        <v>0</v>
      </c>
      <c r="W199" s="19">
        <f t="shared" si="63"/>
        <v>0</v>
      </c>
      <c r="X199" s="19">
        <f t="shared" si="64"/>
        <v>0</v>
      </c>
      <c r="Y199" s="50"/>
    </row>
    <row r="200" spans="1:25" ht="30.75" customHeight="1" outlineLevel="1" x14ac:dyDescent="0.25">
      <c r="A200" s="60" t="s">
        <v>243</v>
      </c>
      <c r="B200" s="58" t="s">
        <v>247</v>
      </c>
      <c r="C200" s="59" t="s">
        <v>98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62">
        <v>0</v>
      </c>
      <c r="J200" s="105">
        <f t="shared" si="58"/>
        <v>0</v>
      </c>
      <c r="K200" s="63">
        <v>0</v>
      </c>
      <c r="L200" s="51">
        <v>16</v>
      </c>
      <c r="M200" s="51">
        <v>17</v>
      </c>
      <c r="N200" s="51">
        <v>0</v>
      </c>
      <c r="O200" s="51">
        <v>0</v>
      </c>
      <c r="P200" s="62">
        <v>0</v>
      </c>
      <c r="Q200" s="105">
        <f t="shared" si="59"/>
        <v>33</v>
      </c>
      <c r="R200" s="92">
        <f t="shared" si="60"/>
        <v>33</v>
      </c>
      <c r="S200" s="84"/>
      <c r="T200" s="47"/>
      <c r="U200" s="19">
        <f t="shared" si="61"/>
        <v>0</v>
      </c>
      <c r="V200" s="19">
        <f t="shared" si="62"/>
        <v>0</v>
      </c>
      <c r="W200" s="19">
        <f t="shared" si="63"/>
        <v>0</v>
      </c>
      <c r="X200" s="19">
        <f t="shared" si="64"/>
        <v>0</v>
      </c>
      <c r="Y200" s="50"/>
    </row>
    <row r="201" spans="1:25" ht="30.75" customHeight="1" outlineLevel="1" x14ac:dyDescent="0.25">
      <c r="A201" s="60" t="s">
        <v>245</v>
      </c>
      <c r="B201" s="58" t="s">
        <v>249</v>
      </c>
      <c r="C201" s="59" t="s">
        <v>98</v>
      </c>
      <c r="D201" s="51">
        <v>0</v>
      </c>
      <c r="E201" s="51">
        <v>0</v>
      </c>
      <c r="F201" s="51">
        <v>0</v>
      </c>
      <c r="G201" s="51">
        <v>2</v>
      </c>
      <c r="H201" s="51">
        <v>0</v>
      </c>
      <c r="I201" s="62">
        <v>0</v>
      </c>
      <c r="J201" s="105">
        <f t="shared" si="58"/>
        <v>2</v>
      </c>
      <c r="K201" s="63">
        <f>23+8</f>
        <v>31</v>
      </c>
      <c r="L201" s="51">
        <v>0</v>
      </c>
      <c r="M201" s="51">
        <v>0</v>
      </c>
      <c r="N201" s="51">
        <v>0</v>
      </c>
      <c r="O201" s="51">
        <v>0</v>
      </c>
      <c r="P201" s="62">
        <v>0</v>
      </c>
      <c r="Q201" s="105">
        <f t="shared" si="59"/>
        <v>31</v>
      </c>
      <c r="R201" s="92">
        <f t="shared" si="60"/>
        <v>33</v>
      </c>
      <c r="S201" s="84"/>
      <c r="T201" s="47"/>
      <c r="U201" s="19">
        <f t="shared" si="61"/>
        <v>0</v>
      </c>
      <c r="V201" s="19">
        <f t="shared" si="62"/>
        <v>0</v>
      </c>
      <c r="W201" s="19">
        <f t="shared" si="63"/>
        <v>0</v>
      </c>
      <c r="X201" s="19">
        <f t="shared" si="64"/>
        <v>0</v>
      </c>
      <c r="Y201" s="50"/>
    </row>
    <row r="202" spans="1:25" ht="30.75" customHeight="1" outlineLevel="1" x14ac:dyDescent="0.25">
      <c r="A202" s="60" t="s">
        <v>246</v>
      </c>
      <c r="B202" s="58" t="s">
        <v>251</v>
      </c>
      <c r="C202" s="59" t="s">
        <v>98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62">
        <v>5</v>
      </c>
      <c r="J202" s="105">
        <f t="shared" si="58"/>
        <v>5</v>
      </c>
      <c r="K202" s="63">
        <v>0</v>
      </c>
      <c r="L202" s="51">
        <v>0</v>
      </c>
      <c r="M202" s="51">
        <v>0</v>
      </c>
      <c r="N202" s="51">
        <v>3</v>
      </c>
      <c r="O202" s="51">
        <v>0</v>
      </c>
      <c r="P202" s="62">
        <v>23</v>
      </c>
      <c r="Q202" s="105">
        <f t="shared" si="59"/>
        <v>26</v>
      </c>
      <c r="R202" s="92">
        <f t="shared" si="60"/>
        <v>31</v>
      </c>
      <c r="S202" s="84"/>
      <c r="T202" s="47"/>
      <c r="U202" s="19">
        <f t="shared" si="61"/>
        <v>0</v>
      </c>
      <c r="V202" s="19">
        <f t="shared" si="62"/>
        <v>0</v>
      </c>
      <c r="W202" s="19">
        <f t="shared" si="63"/>
        <v>0</v>
      </c>
      <c r="X202" s="19">
        <f t="shared" si="64"/>
        <v>0</v>
      </c>
      <c r="Y202" s="50"/>
    </row>
    <row r="203" spans="1:25" ht="30.75" customHeight="1" outlineLevel="1" x14ac:dyDescent="0.25">
      <c r="A203" s="60" t="s">
        <v>248</v>
      </c>
      <c r="B203" s="58" t="s">
        <v>253</v>
      </c>
      <c r="C203" s="59" t="s">
        <v>98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62">
        <v>0</v>
      </c>
      <c r="J203" s="105">
        <f t="shared" si="58"/>
        <v>0</v>
      </c>
      <c r="K203" s="63">
        <v>9</v>
      </c>
      <c r="L203" s="51">
        <v>0</v>
      </c>
      <c r="M203" s="51">
        <v>0</v>
      </c>
      <c r="N203" s="51">
        <v>0</v>
      </c>
      <c r="O203" s="51">
        <v>0</v>
      </c>
      <c r="P203" s="62">
        <v>0</v>
      </c>
      <c r="Q203" s="105">
        <f t="shared" si="59"/>
        <v>9</v>
      </c>
      <c r="R203" s="92">
        <f t="shared" si="60"/>
        <v>9</v>
      </c>
      <c r="S203" s="84"/>
      <c r="T203" s="47"/>
      <c r="U203" s="19">
        <f t="shared" si="61"/>
        <v>0</v>
      </c>
      <c r="V203" s="19">
        <f t="shared" si="62"/>
        <v>0</v>
      </c>
      <c r="W203" s="19">
        <f t="shared" si="63"/>
        <v>0</v>
      </c>
      <c r="X203" s="19">
        <f t="shared" si="64"/>
        <v>0</v>
      </c>
      <c r="Y203" s="50"/>
    </row>
    <row r="204" spans="1:25" ht="30.75" customHeight="1" outlineLevel="1" x14ac:dyDescent="0.25">
      <c r="A204" s="60" t="s">
        <v>250</v>
      </c>
      <c r="B204" s="58" t="s">
        <v>255</v>
      </c>
      <c r="C204" s="59" t="s">
        <v>98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62">
        <v>0</v>
      </c>
      <c r="J204" s="105">
        <f t="shared" si="58"/>
        <v>0</v>
      </c>
      <c r="K204" s="63">
        <v>0</v>
      </c>
      <c r="L204" s="51">
        <v>0</v>
      </c>
      <c r="M204" s="51">
        <v>3</v>
      </c>
      <c r="N204" s="51">
        <v>0</v>
      </c>
      <c r="O204" s="51">
        <v>0</v>
      </c>
      <c r="P204" s="62">
        <v>0</v>
      </c>
      <c r="Q204" s="105">
        <f t="shared" si="59"/>
        <v>3</v>
      </c>
      <c r="R204" s="92">
        <f t="shared" si="60"/>
        <v>3</v>
      </c>
      <c r="S204" s="84"/>
      <c r="T204" s="47"/>
      <c r="U204" s="19">
        <f t="shared" si="61"/>
        <v>0</v>
      </c>
      <c r="V204" s="19">
        <f t="shared" si="62"/>
        <v>0</v>
      </c>
      <c r="W204" s="19">
        <f t="shared" si="63"/>
        <v>0</v>
      </c>
      <c r="X204" s="19">
        <f t="shared" si="64"/>
        <v>0</v>
      </c>
      <c r="Y204" s="50"/>
    </row>
    <row r="205" spans="1:25" ht="30.75" customHeight="1" outlineLevel="1" x14ac:dyDescent="0.25">
      <c r="A205" s="60" t="s">
        <v>252</v>
      </c>
      <c r="B205" s="58" t="s">
        <v>257</v>
      </c>
      <c r="C205" s="59" t="s">
        <v>98</v>
      </c>
      <c r="D205" s="51">
        <v>0</v>
      </c>
      <c r="E205" s="51">
        <v>0</v>
      </c>
      <c r="F205" s="51">
        <v>0</v>
      </c>
      <c r="G205" s="51">
        <v>0</v>
      </c>
      <c r="H205" s="51">
        <f>7-7</f>
        <v>0</v>
      </c>
      <c r="I205" s="62">
        <v>0</v>
      </c>
      <c r="J205" s="105">
        <f t="shared" si="58"/>
        <v>0</v>
      </c>
      <c r="K205" s="63">
        <v>0</v>
      </c>
      <c r="L205" s="51">
        <v>0</v>
      </c>
      <c r="M205" s="51">
        <v>0</v>
      </c>
      <c r="N205" s="51">
        <v>0</v>
      </c>
      <c r="O205" s="51">
        <v>0</v>
      </c>
      <c r="P205" s="62">
        <v>0</v>
      </c>
      <c r="Q205" s="105">
        <f t="shared" si="59"/>
        <v>0</v>
      </c>
      <c r="R205" s="92">
        <f t="shared" si="60"/>
        <v>0</v>
      </c>
      <c r="S205" s="84"/>
      <c r="T205" s="47"/>
      <c r="U205" s="19">
        <f t="shared" si="61"/>
        <v>0</v>
      </c>
      <c r="V205" s="19">
        <f t="shared" si="62"/>
        <v>0</v>
      </c>
      <c r="W205" s="19">
        <f t="shared" si="63"/>
        <v>0</v>
      </c>
      <c r="X205" s="19">
        <f t="shared" si="64"/>
        <v>0</v>
      </c>
      <c r="Y205" s="50"/>
    </row>
    <row r="206" spans="1:25" ht="30.75" customHeight="1" outlineLevel="1" x14ac:dyDescent="0.25">
      <c r="A206" s="60" t="s">
        <v>254</v>
      </c>
      <c r="B206" s="58" t="s">
        <v>525</v>
      </c>
      <c r="C206" s="59" t="s">
        <v>98</v>
      </c>
      <c r="D206" s="51">
        <v>6</v>
      </c>
      <c r="E206" s="51">
        <v>0</v>
      </c>
      <c r="F206" s="51">
        <v>0</v>
      </c>
      <c r="G206" s="51">
        <v>0</v>
      </c>
      <c r="H206" s="51">
        <v>0</v>
      </c>
      <c r="I206" s="62">
        <v>0</v>
      </c>
      <c r="J206" s="105">
        <f t="shared" si="58"/>
        <v>6</v>
      </c>
      <c r="K206" s="63">
        <v>0</v>
      </c>
      <c r="L206" s="51">
        <v>0</v>
      </c>
      <c r="M206" s="51">
        <v>0</v>
      </c>
      <c r="N206" s="51">
        <v>0</v>
      </c>
      <c r="O206" s="51">
        <v>0</v>
      </c>
      <c r="P206" s="62">
        <v>0</v>
      </c>
      <c r="Q206" s="105">
        <f t="shared" si="59"/>
        <v>0</v>
      </c>
      <c r="R206" s="92">
        <f t="shared" si="60"/>
        <v>6</v>
      </c>
      <c r="S206" s="84"/>
      <c r="T206" s="47"/>
      <c r="U206" s="19">
        <f t="shared" si="61"/>
        <v>0</v>
      </c>
      <c r="V206" s="19">
        <f t="shared" si="62"/>
        <v>0</v>
      </c>
      <c r="W206" s="19">
        <f t="shared" si="63"/>
        <v>0</v>
      </c>
      <c r="X206" s="19">
        <f t="shared" si="64"/>
        <v>0</v>
      </c>
      <c r="Y206" s="50"/>
    </row>
    <row r="207" spans="1:25" ht="30.75" customHeight="1" outlineLevel="1" x14ac:dyDescent="0.25">
      <c r="A207" s="60" t="s">
        <v>256</v>
      </c>
      <c r="B207" s="58" t="s">
        <v>526</v>
      </c>
      <c r="C207" s="59" t="s">
        <v>98</v>
      </c>
      <c r="D207" s="51">
        <v>0</v>
      </c>
      <c r="E207" s="51">
        <v>7</v>
      </c>
      <c r="F207" s="51">
        <v>11</v>
      </c>
      <c r="G207" s="51">
        <v>0</v>
      </c>
      <c r="H207" s="51">
        <f>15-7-3+2</f>
        <v>7</v>
      </c>
      <c r="I207" s="62">
        <v>0</v>
      </c>
      <c r="J207" s="105">
        <f t="shared" si="58"/>
        <v>25</v>
      </c>
      <c r="K207" s="63">
        <v>0</v>
      </c>
      <c r="L207" s="51">
        <v>0</v>
      </c>
      <c r="M207" s="51">
        <v>0</v>
      </c>
      <c r="N207" s="51">
        <v>0</v>
      </c>
      <c r="O207" s="51">
        <v>0</v>
      </c>
      <c r="P207" s="62">
        <v>0</v>
      </c>
      <c r="Q207" s="105">
        <f t="shared" si="59"/>
        <v>0</v>
      </c>
      <c r="R207" s="92">
        <f t="shared" si="60"/>
        <v>25</v>
      </c>
      <c r="S207" s="84"/>
      <c r="T207" s="47"/>
      <c r="U207" s="19">
        <f t="shared" si="61"/>
        <v>0</v>
      </c>
      <c r="V207" s="19">
        <f t="shared" si="62"/>
        <v>0</v>
      </c>
      <c r="W207" s="19">
        <f t="shared" si="63"/>
        <v>0</v>
      </c>
      <c r="X207" s="19">
        <f t="shared" si="64"/>
        <v>0</v>
      </c>
      <c r="Y207" s="50"/>
    </row>
    <row r="208" spans="1:25" ht="30.75" customHeight="1" outlineLevel="1" x14ac:dyDescent="0.25">
      <c r="A208" s="60" t="s">
        <v>258</v>
      </c>
      <c r="B208" s="58" t="s">
        <v>261</v>
      </c>
      <c r="C208" s="59" t="s">
        <v>98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62">
        <v>0</v>
      </c>
      <c r="J208" s="105">
        <f t="shared" si="58"/>
        <v>0</v>
      </c>
      <c r="K208" s="63">
        <v>0</v>
      </c>
      <c r="L208" s="51">
        <v>0</v>
      </c>
      <c r="M208" s="51">
        <v>0</v>
      </c>
      <c r="N208" s="51">
        <v>2</v>
      </c>
      <c r="O208" s="51">
        <v>0</v>
      </c>
      <c r="P208" s="62">
        <v>0</v>
      </c>
      <c r="Q208" s="105">
        <f t="shared" si="59"/>
        <v>2</v>
      </c>
      <c r="R208" s="92">
        <f t="shared" si="60"/>
        <v>2</v>
      </c>
      <c r="S208" s="84"/>
      <c r="T208" s="47"/>
      <c r="U208" s="19">
        <f t="shared" si="61"/>
        <v>0</v>
      </c>
      <c r="V208" s="19">
        <f t="shared" si="62"/>
        <v>0</v>
      </c>
      <c r="W208" s="19">
        <f t="shared" si="63"/>
        <v>0</v>
      </c>
      <c r="X208" s="19">
        <f t="shared" si="64"/>
        <v>0</v>
      </c>
      <c r="Y208" s="50"/>
    </row>
    <row r="209" spans="1:25" ht="30.75" customHeight="1" outlineLevel="1" x14ac:dyDescent="0.25">
      <c r="A209" s="60" t="s">
        <v>259</v>
      </c>
      <c r="B209" s="58" t="s">
        <v>263</v>
      </c>
      <c r="C209" s="59" t="s">
        <v>98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62">
        <v>10</v>
      </c>
      <c r="J209" s="105">
        <f t="shared" si="58"/>
        <v>10</v>
      </c>
      <c r="K209" s="63">
        <v>0</v>
      </c>
      <c r="L209" s="51">
        <v>0</v>
      </c>
      <c r="M209" s="51">
        <v>0</v>
      </c>
      <c r="N209" s="51">
        <v>0</v>
      </c>
      <c r="O209" s="51">
        <v>0</v>
      </c>
      <c r="P209" s="62">
        <v>10</v>
      </c>
      <c r="Q209" s="105">
        <f t="shared" si="59"/>
        <v>10</v>
      </c>
      <c r="R209" s="92">
        <f t="shared" si="60"/>
        <v>20</v>
      </c>
      <c r="S209" s="84"/>
      <c r="T209" s="47"/>
      <c r="U209" s="19">
        <f t="shared" si="61"/>
        <v>0</v>
      </c>
      <c r="V209" s="19">
        <f t="shared" si="62"/>
        <v>0</v>
      </c>
      <c r="W209" s="19">
        <f t="shared" si="63"/>
        <v>0</v>
      </c>
      <c r="X209" s="19">
        <f t="shared" si="64"/>
        <v>0</v>
      </c>
      <c r="Y209" s="50"/>
    </row>
    <row r="210" spans="1:25" ht="30.75" customHeight="1" outlineLevel="1" x14ac:dyDescent="0.25">
      <c r="A210" s="60" t="s">
        <v>260</v>
      </c>
      <c r="B210" s="58" t="s">
        <v>265</v>
      </c>
      <c r="C210" s="59" t="s">
        <v>98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62">
        <v>0</v>
      </c>
      <c r="J210" s="105">
        <f t="shared" si="58"/>
        <v>0</v>
      </c>
      <c r="K210" s="63">
        <v>0</v>
      </c>
      <c r="L210" s="51">
        <v>0</v>
      </c>
      <c r="M210" s="51">
        <v>0</v>
      </c>
      <c r="N210" s="51">
        <v>5</v>
      </c>
      <c r="O210" s="51">
        <v>0</v>
      </c>
      <c r="P210" s="62">
        <v>0</v>
      </c>
      <c r="Q210" s="105">
        <f t="shared" si="59"/>
        <v>5</v>
      </c>
      <c r="R210" s="92">
        <f t="shared" si="60"/>
        <v>5</v>
      </c>
      <c r="S210" s="84"/>
      <c r="T210" s="47"/>
      <c r="U210" s="19">
        <f t="shared" si="61"/>
        <v>0</v>
      </c>
      <c r="V210" s="19">
        <f t="shared" si="62"/>
        <v>0</v>
      </c>
      <c r="W210" s="19">
        <f t="shared" si="63"/>
        <v>0</v>
      </c>
      <c r="X210" s="19">
        <f t="shared" si="64"/>
        <v>0</v>
      </c>
      <c r="Y210" s="50"/>
    </row>
    <row r="211" spans="1:25" ht="30.75" customHeight="1" outlineLevel="1" x14ac:dyDescent="0.25">
      <c r="A211" s="60" t="s">
        <v>262</v>
      </c>
      <c r="B211" s="58" t="s">
        <v>528</v>
      </c>
      <c r="C211" s="59" t="s">
        <v>98</v>
      </c>
      <c r="D211" s="51">
        <v>0</v>
      </c>
      <c r="E211" s="51">
        <v>1</v>
      </c>
      <c r="F211" s="51">
        <v>0</v>
      </c>
      <c r="G211" s="51">
        <v>0</v>
      </c>
      <c r="H211" s="51">
        <v>0</v>
      </c>
      <c r="I211" s="62">
        <v>0</v>
      </c>
      <c r="J211" s="105">
        <f t="shared" si="58"/>
        <v>1</v>
      </c>
      <c r="K211" s="63">
        <v>0</v>
      </c>
      <c r="L211" s="51">
        <v>0</v>
      </c>
      <c r="M211" s="51">
        <v>0</v>
      </c>
      <c r="N211" s="51">
        <v>0</v>
      </c>
      <c r="O211" s="51">
        <v>0</v>
      </c>
      <c r="P211" s="62">
        <v>0</v>
      </c>
      <c r="Q211" s="105">
        <f t="shared" si="59"/>
        <v>0</v>
      </c>
      <c r="R211" s="92">
        <f t="shared" si="60"/>
        <v>1</v>
      </c>
      <c r="S211" s="84"/>
      <c r="T211" s="47"/>
      <c r="U211" s="19">
        <f t="shared" si="61"/>
        <v>0</v>
      </c>
      <c r="V211" s="19">
        <f t="shared" si="62"/>
        <v>0</v>
      </c>
      <c r="W211" s="19">
        <f t="shared" si="63"/>
        <v>0</v>
      </c>
      <c r="X211" s="19">
        <f t="shared" si="64"/>
        <v>0</v>
      </c>
      <c r="Y211" s="50"/>
    </row>
    <row r="212" spans="1:25" ht="30.75" customHeight="1" outlineLevel="1" x14ac:dyDescent="0.25">
      <c r="A212" s="60" t="s">
        <v>264</v>
      </c>
      <c r="B212" s="58" t="s">
        <v>527</v>
      </c>
      <c r="C212" s="59" t="s">
        <v>98</v>
      </c>
      <c r="D212" s="51">
        <v>8</v>
      </c>
      <c r="E212" s="51">
        <v>0</v>
      </c>
      <c r="F212" s="51">
        <v>0</v>
      </c>
      <c r="G212" s="51">
        <v>0</v>
      </c>
      <c r="H212" s="51">
        <v>0</v>
      </c>
      <c r="I212" s="62">
        <v>6</v>
      </c>
      <c r="J212" s="105">
        <f t="shared" si="58"/>
        <v>14</v>
      </c>
      <c r="K212" s="63">
        <v>0</v>
      </c>
      <c r="L212" s="51">
        <v>0</v>
      </c>
      <c r="M212" s="51">
        <v>0</v>
      </c>
      <c r="N212" s="51">
        <v>0</v>
      </c>
      <c r="O212" s="51">
        <v>0</v>
      </c>
      <c r="P212" s="62">
        <v>0</v>
      </c>
      <c r="Q212" s="105">
        <f t="shared" si="59"/>
        <v>0</v>
      </c>
      <c r="R212" s="92">
        <f t="shared" si="60"/>
        <v>14</v>
      </c>
      <c r="S212" s="84"/>
      <c r="T212" s="47"/>
      <c r="U212" s="19">
        <f t="shared" si="61"/>
        <v>0</v>
      </c>
      <c r="V212" s="19">
        <f t="shared" si="62"/>
        <v>0</v>
      </c>
      <c r="W212" s="19">
        <f t="shared" si="63"/>
        <v>0</v>
      </c>
      <c r="X212" s="19">
        <f t="shared" si="64"/>
        <v>0</v>
      </c>
      <c r="Y212" s="50"/>
    </row>
    <row r="213" spans="1:25" ht="30.75" customHeight="1" outlineLevel="1" x14ac:dyDescent="0.25">
      <c r="A213" s="60" t="s">
        <v>266</v>
      </c>
      <c r="B213" s="58" t="s">
        <v>269</v>
      </c>
      <c r="C213" s="59" t="s">
        <v>98</v>
      </c>
      <c r="D213" s="51">
        <v>0</v>
      </c>
      <c r="E213" s="51">
        <v>0</v>
      </c>
      <c r="F213" s="51">
        <v>0</v>
      </c>
      <c r="G213" s="51">
        <v>0</v>
      </c>
      <c r="H213" s="51">
        <v>9</v>
      </c>
      <c r="I213" s="62">
        <v>0</v>
      </c>
      <c r="J213" s="105">
        <f t="shared" si="58"/>
        <v>9</v>
      </c>
      <c r="K213" s="63">
        <v>0</v>
      </c>
      <c r="L213" s="51">
        <v>0</v>
      </c>
      <c r="M213" s="51">
        <v>0</v>
      </c>
      <c r="N213" s="51">
        <v>0</v>
      </c>
      <c r="O213" s="51">
        <v>0</v>
      </c>
      <c r="P213" s="62">
        <v>0</v>
      </c>
      <c r="Q213" s="105">
        <f t="shared" si="59"/>
        <v>0</v>
      </c>
      <c r="R213" s="92">
        <f t="shared" si="60"/>
        <v>9</v>
      </c>
      <c r="S213" s="84"/>
      <c r="T213" s="47"/>
      <c r="U213" s="19">
        <f t="shared" si="61"/>
        <v>0</v>
      </c>
      <c r="V213" s="19">
        <f t="shared" si="62"/>
        <v>0</v>
      </c>
      <c r="W213" s="19">
        <f t="shared" si="63"/>
        <v>0</v>
      </c>
      <c r="X213" s="19">
        <f t="shared" si="64"/>
        <v>0</v>
      </c>
      <c r="Y213" s="50"/>
    </row>
    <row r="214" spans="1:25" ht="30.75" customHeight="1" outlineLevel="1" x14ac:dyDescent="0.25">
      <c r="A214" s="60" t="s">
        <v>267</v>
      </c>
      <c r="B214" s="58" t="s">
        <v>271</v>
      </c>
      <c r="C214" s="59" t="s">
        <v>98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62">
        <v>0</v>
      </c>
      <c r="J214" s="105">
        <f t="shared" si="58"/>
        <v>0</v>
      </c>
      <c r="K214" s="63">
        <v>0</v>
      </c>
      <c r="L214" s="51">
        <v>8</v>
      </c>
      <c r="M214" s="51">
        <v>6</v>
      </c>
      <c r="N214" s="51">
        <v>0</v>
      </c>
      <c r="O214" s="51">
        <v>0</v>
      </c>
      <c r="P214" s="62">
        <v>2</v>
      </c>
      <c r="Q214" s="105">
        <f t="shared" si="59"/>
        <v>16</v>
      </c>
      <c r="R214" s="92">
        <f t="shared" si="60"/>
        <v>16</v>
      </c>
      <c r="S214" s="84"/>
      <c r="T214" s="47"/>
      <c r="U214" s="19">
        <f t="shared" si="61"/>
        <v>0</v>
      </c>
      <c r="V214" s="19">
        <f t="shared" si="62"/>
        <v>0</v>
      </c>
      <c r="W214" s="19">
        <f t="shared" si="63"/>
        <v>0</v>
      </c>
      <c r="X214" s="19">
        <f t="shared" si="64"/>
        <v>0</v>
      </c>
      <c r="Y214" s="50"/>
    </row>
    <row r="215" spans="1:25" ht="30.75" customHeight="1" outlineLevel="1" x14ac:dyDescent="0.25">
      <c r="A215" s="60" t="s">
        <v>268</v>
      </c>
      <c r="B215" s="58" t="s">
        <v>273</v>
      </c>
      <c r="C215" s="59" t="s">
        <v>98</v>
      </c>
      <c r="D215" s="51">
        <v>0</v>
      </c>
      <c r="E215" s="51">
        <v>22</v>
      </c>
      <c r="F215" s="51">
        <v>2</v>
      </c>
      <c r="G215" s="51">
        <v>0</v>
      </c>
      <c r="H215" s="51">
        <v>0</v>
      </c>
      <c r="I215" s="62">
        <v>5</v>
      </c>
      <c r="J215" s="105">
        <f t="shared" si="58"/>
        <v>29</v>
      </c>
      <c r="K215" s="63">
        <v>0</v>
      </c>
      <c r="L215" s="51">
        <v>0</v>
      </c>
      <c r="M215" s="51">
        <v>0</v>
      </c>
      <c r="N215" s="51">
        <v>0</v>
      </c>
      <c r="O215" s="51">
        <v>0</v>
      </c>
      <c r="P215" s="62">
        <v>0</v>
      </c>
      <c r="Q215" s="105">
        <f t="shared" si="59"/>
        <v>0</v>
      </c>
      <c r="R215" s="92">
        <f t="shared" si="60"/>
        <v>29</v>
      </c>
      <c r="S215" s="84"/>
      <c r="T215" s="47"/>
      <c r="U215" s="19">
        <f t="shared" si="61"/>
        <v>0</v>
      </c>
      <c r="V215" s="19">
        <f t="shared" si="62"/>
        <v>0</v>
      </c>
      <c r="W215" s="19">
        <f t="shared" si="63"/>
        <v>0</v>
      </c>
      <c r="X215" s="19">
        <f t="shared" si="64"/>
        <v>0</v>
      </c>
      <c r="Y215" s="50"/>
    </row>
    <row r="216" spans="1:25" ht="30.75" customHeight="1" outlineLevel="1" x14ac:dyDescent="0.25">
      <c r="A216" s="60" t="s">
        <v>270</v>
      </c>
      <c r="B216" s="58" t="s">
        <v>616</v>
      </c>
      <c r="C216" s="59" t="s">
        <v>98</v>
      </c>
      <c r="D216" s="51">
        <v>0</v>
      </c>
      <c r="E216" s="51">
        <v>0</v>
      </c>
      <c r="F216" s="51">
        <v>0</v>
      </c>
      <c r="G216" s="51">
        <v>0</v>
      </c>
      <c r="H216" s="51">
        <v>2</v>
      </c>
      <c r="I216" s="62">
        <v>0</v>
      </c>
      <c r="J216" s="105">
        <f t="shared" si="58"/>
        <v>2</v>
      </c>
      <c r="K216" s="63">
        <v>0</v>
      </c>
      <c r="L216" s="51">
        <v>0</v>
      </c>
      <c r="M216" s="51">
        <v>0</v>
      </c>
      <c r="N216" s="51">
        <v>0</v>
      </c>
      <c r="O216" s="51">
        <v>0</v>
      </c>
      <c r="P216" s="62">
        <v>0</v>
      </c>
      <c r="Q216" s="105">
        <f t="shared" si="59"/>
        <v>0</v>
      </c>
      <c r="R216" s="92">
        <f t="shared" si="60"/>
        <v>2</v>
      </c>
      <c r="S216" s="84"/>
      <c r="T216" s="47"/>
      <c r="U216" s="19">
        <f t="shared" si="61"/>
        <v>0</v>
      </c>
      <c r="V216" s="19">
        <f t="shared" si="62"/>
        <v>0</v>
      </c>
      <c r="W216" s="19">
        <f t="shared" si="63"/>
        <v>0</v>
      </c>
      <c r="X216" s="19">
        <f t="shared" si="64"/>
        <v>0</v>
      </c>
      <c r="Y216" s="50"/>
    </row>
    <row r="217" spans="1:25" ht="30.75" customHeight="1" outlineLevel="1" x14ac:dyDescent="0.25">
      <c r="A217" s="60" t="s">
        <v>272</v>
      </c>
      <c r="B217" s="58" t="s">
        <v>277</v>
      </c>
      <c r="C217" s="59" t="s">
        <v>98</v>
      </c>
      <c r="D217" s="51">
        <v>1</v>
      </c>
      <c r="E217" s="51">
        <v>0</v>
      </c>
      <c r="F217" s="51">
        <v>0</v>
      </c>
      <c r="G217" s="51">
        <v>0</v>
      </c>
      <c r="H217" s="51">
        <v>0</v>
      </c>
      <c r="I217" s="62">
        <v>0</v>
      </c>
      <c r="J217" s="105">
        <f t="shared" si="58"/>
        <v>1</v>
      </c>
      <c r="K217" s="63">
        <v>0</v>
      </c>
      <c r="L217" s="51">
        <v>1</v>
      </c>
      <c r="M217" s="51">
        <v>0</v>
      </c>
      <c r="N217" s="51">
        <v>0</v>
      </c>
      <c r="O217" s="51">
        <v>0</v>
      </c>
      <c r="P217" s="62">
        <v>0</v>
      </c>
      <c r="Q217" s="105">
        <f t="shared" si="59"/>
        <v>1</v>
      </c>
      <c r="R217" s="92">
        <f t="shared" si="60"/>
        <v>2</v>
      </c>
      <c r="S217" s="84"/>
      <c r="T217" s="47"/>
      <c r="U217" s="19">
        <f t="shared" si="61"/>
        <v>0</v>
      </c>
      <c r="V217" s="19">
        <f t="shared" si="62"/>
        <v>0</v>
      </c>
      <c r="W217" s="19">
        <f t="shared" si="63"/>
        <v>0</v>
      </c>
      <c r="X217" s="19">
        <f t="shared" si="64"/>
        <v>0</v>
      </c>
      <c r="Y217" s="50"/>
    </row>
    <row r="218" spans="1:25" ht="30.75" customHeight="1" outlineLevel="1" x14ac:dyDescent="0.25">
      <c r="A218" s="60" t="s">
        <v>274</v>
      </c>
      <c r="B218" s="58" t="s">
        <v>279</v>
      </c>
      <c r="C218" s="59" t="s">
        <v>98</v>
      </c>
      <c r="D218" s="51">
        <v>0</v>
      </c>
      <c r="E218" s="51">
        <v>0</v>
      </c>
      <c r="F218" s="51">
        <v>0</v>
      </c>
      <c r="G218" s="51">
        <v>0</v>
      </c>
      <c r="H218" s="51">
        <v>1</v>
      </c>
      <c r="I218" s="62">
        <v>4</v>
      </c>
      <c r="J218" s="105">
        <f t="shared" si="58"/>
        <v>5</v>
      </c>
      <c r="K218" s="63">
        <v>0</v>
      </c>
      <c r="L218" s="51">
        <v>0</v>
      </c>
      <c r="M218" s="51">
        <v>0</v>
      </c>
      <c r="N218" s="51">
        <v>0</v>
      </c>
      <c r="O218" s="51">
        <v>0</v>
      </c>
      <c r="P218" s="62">
        <v>0</v>
      </c>
      <c r="Q218" s="105">
        <f t="shared" si="59"/>
        <v>0</v>
      </c>
      <c r="R218" s="92">
        <f t="shared" si="60"/>
        <v>5</v>
      </c>
      <c r="S218" s="84"/>
      <c r="T218" s="47"/>
      <c r="U218" s="19">
        <f t="shared" si="61"/>
        <v>0</v>
      </c>
      <c r="V218" s="19">
        <f t="shared" si="62"/>
        <v>0</v>
      </c>
      <c r="W218" s="19">
        <f t="shared" si="63"/>
        <v>0</v>
      </c>
      <c r="X218" s="19">
        <f t="shared" si="64"/>
        <v>0</v>
      </c>
      <c r="Y218" s="50"/>
    </row>
    <row r="219" spans="1:25" ht="30.75" customHeight="1" outlineLevel="1" x14ac:dyDescent="0.25">
      <c r="A219" s="60" t="s">
        <v>275</v>
      </c>
      <c r="B219" s="58" t="s">
        <v>281</v>
      </c>
      <c r="C219" s="59" t="s">
        <v>98</v>
      </c>
      <c r="D219" s="51">
        <v>0</v>
      </c>
      <c r="E219" s="51">
        <v>4</v>
      </c>
      <c r="F219" s="51">
        <v>0</v>
      </c>
      <c r="G219" s="51">
        <v>0</v>
      </c>
      <c r="H219" s="51">
        <v>1</v>
      </c>
      <c r="I219" s="62">
        <v>0</v>
      </c>
      <c r="J219" s="105">
        <f t="shared" si="58"/>
        <v>5</v>
      </c>
      <c r="K219" s="63">
        <v>0</v>
      </c>
      <c r="L219" s="51">
        <v>0</v>
      </c>
      <c r="M219" s="51">
        <v>0</v>
      </c>
      <c r="N219" s="51">
        <v>0</v>
      </c>
      <c r="O219" s="51">
        <v>0</v>
      </c>
      <c r="P219" s="62">
        <v>0</v>
      </c>
      <c r="Q219" s="105">
        <f t="shared" si="59"/>
        <v>0</v>
      </c>
      <c r="R219" s="92">
        <f t="shared" si="60"/>
        <v>5</v>
      </c>
      <c r="S219" s="84"/>
      <c r="T219" s="47"/>
      <c r="U219" s="19">
        <f t="shared" si="61"/>
        <v>0</v>
      </c>
      <c r="V219" s="19">
        <f t="shared" si="62"/>
        <v>0</v>
      </c>
      <c r="W219" s="19">
        <f t="shared" si="63"/>
        <v>0</v>
      </c>
      <c r="X219" s="19">
        <f t="shared" si="64"/>
        <v>0</v>
      </c>
      <c r="Y219" s="50"/>
    </row>
    <row r="220" spans="1:25" ht="30.75" customHeight="1" outlineLevel="1" x14ac:dyDescent="0.25">
      <c r="A220" s="60" t="s">
        <v>276</v>
      </c>
      <c r="B220" s="58" t="s">
        <v>284</v>
      </c>
      <c r="C220" s="59" t="s">
        <v>98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62">
        <v>0</v>
      </c>
      <c r="J220" s="105">
        <f t="shared" si="58"/>
        <v>0</v>
      </c>
      <c r="K220" s="63">
        <v>0</v>
      </c>
      <c r="L220" s="51">
        <v>0</v>
      </c>
      <c r="M220" s="51">
        <v>5</v>
      </c>
      <c r="N220" s="51">
        <v>0</v>
      </c>
      <c r="O220" s="51">
        <v>0</v>
      </c>
      <c r="P220" s="62">
        <v>0</v>
      </c>
      <c r="Q220" s="105">
        <f t="shared" si="59"/>
        <v>5</v>
      </c>
      <c r="R220" s="92">
        <f t="shared" si="60"/>
        <v>5</v>
      </c>
      <c r="S220" s="84"/>
      <c r="T220" s="47"/>
      <c r="U220" s="19">
        <f t="shared" si="61"/>
        <v>0</v>
      </c>
      <c r="V220" s="19">
        <f t="shared" si="62"/>
        <v>0</v>
      </c>
      <c r="W220" s="19">
        <f t="shared" si="63"/>
        <v>0</v>
      </c>
      <c r="X220" s="19">
        <f t="shared" si="64"/>
        <v>0</v>
      </c>
      <c r="Y220" s="50"/>
    </row>
    <row r="221" spans="1:25" ht="30.75" customHeight="1" outlineLevel="1" x14ac:dyDescent="0.25">
      <c r="A221" s="60" t="s">
        <v>278</v>
      </c>
      <c r="B221" s="58" t="s">
        <v>529</v>
      </c>
      <c r="C221" s="59" t="s">
        <v>98</v>
      </c>
      <c r="D221" s="51">
        <v>0</v>
      </c>
      <c r="E221" s="51">
        <v>1</v>
      </c>
      <c r="F221" s="51">
        <v>0</v>
      </c>
      <c r="G221" s="51">
        <v>0</v>
      </c>
      <c r="H221" s="51">
        <v>0</v>
      </c>
      <c r="I221" s="62">
        <v>0</v>
      </c>
      <c r="J221" s="105">
        <f t="shared" si="58"/>
        <v>1</v>
      </c>
      <c r="K221" s="63">
        <v>0</v>
      </c>
      <c r="L221" s="51">
        <v>0</v>
      </c>
      <c r="M221" s="51">
        <v>0</v>
      </c>
      <c r="N221" s="51">
        <v>0</v>
      </c>
      <c r="O221" s="51">
        <v>0</v>
      </c>
      <c r="P221" s="62">
        <v>0</v>
      </c>
      <c r="Q221" s="105">
        <f t="shared" si="59"/>
        <v>0</v>
      </c>
      <c r="R221" s="92">
        <f t="shared" si="60"/>
        <v>1</v>
      </c>
      <c r="S221" s="84"/>
      <c r="T221" s="47"/>
      <c r="U221" s="19">
        <f t="shared" si="61"/>
        <v>0</v>
      </c>
      <c r="V221" s="19">
        <f t="shared" si="62"/>
        <v>0</v>
      </c>
      <c r="W221" s="19">
        <f t="shared" si="63"/>
        <v>0</v>
      </c>
      <c r="X221" s="19">
        <f t="shared" si="64"/>
        <v>0</v>
      </c>
      <c r="Y221" s="50"/>
    </row>
    <row r="222" spans="1:25" ht="30.75" customHeight="1" outlineLevel="1" x14ac:dyDescent="0.25">
      <c r="A222" s="60" t="s">
        <v>280</v>
      </c>
      <c r="B222" s="58" t="s">
        <v>615</v>
      </c>
      <c r="C222" s="59" t="s">
        <v>98</v>
      </c>
      <c r="D222" s="51">
        <v>0</v>
      </c>
      <c r="E222" s="51">
        <v>0</v>
      </c>
      <c r="F222" s="51">
        <v>0</v>
      </c>
      <c r="G222" s="51">
        <v>0</v>
      </c>
      <c r="H222" s="51">
        <v>3</v>
      </c>
      <c r="I222" s="62">
        <v>0</v>
      </c>
      <c r="J222" s="105">
        <f t="shared" si="58"/>
        <v>3</v>
      </c>
      <c r="K222" s="63">
        <v>0</v>
      </c>
      <c r="L222" s="51">
        <v>0</v>
      </c>
      <c r="M222" s="51">
        <v>0</v>
      </c>
      <c r="N222" s="51">
        <v>0</v>
      </c>
      <c r="O222" s="51">
        <v>0</v>
      </c>
      <c r="P222" s="62">
        <v>0</v>
      </c>
      <c r="Q222" s="105">
        <f t="shared" si="59"/>
        <v>0</v>
      </c>
      <c r="R222" s="92">
        <f t="shared" si="60"/>
        <v>3</v>
      </c>
      <c r="S222" s="84"/>
      <c r="T222" s="47"/>
      <c r="U222" s="19">
        <f t="shared" si="61"/>
        <v>0</v>
      </c>
      <c r="V222" s="19">
        <f t="shared" si="62"/>
        <v>0</v>
      </c>
      <c r="W222" s="19">
        <f t="shared" si="63"/>
        <v>0</v>
      </c>
      <c r="X222" s="19">
        <f t="shared" si="64"/>
        <v>0</v>
      </c>
      <c r="Y222" s="50"/>
    </row>
    <row r="223" spans="1:25" ht="30.75" customHeight="1" outlineLevel="1" x14ac:dyDescent="0.25">
      <c r="A223" s="60" t="s">
        <v>282</v>
      </c>
      <c r="B223" s="58" t="s">
        <v>286</v>
      </c>
      <c r="C223" s="59" t="s">
        <v>98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62">
        <v>0</v>
      </c>
      <c r="J223" s="105">
        <f t="shared" si="58"/>
        <v>0</v>
      </c>
      <c r="K223" s="63">
        <v>0</v>
      </c>
      <c r="L223" s="51">
        <v>0</v>
      </c>
      <c r="M223" s="51">
        <v>3</v>
      </c>
      <c r="N223" s="51">
        <v>0</v>
      </c>
      <c r="O223" s="51">
        <v>0</v>
      </c>
      <c r="P223" s="62">
        <v>0</v>
      </c>
      <c r="Q223" s="105">
        <f t="shared" si="59"/>
        <v>3</v>
      </c>
      <c r="R223" s="92">
        <f t="shared" si="60"/>
        <v>3</v>
      </c>
      <c r="S223" s="84"/>
      <c r="T223" s="47"/>
      <c r="U223" s="19"/>
      <c r="V223" s="19"/>
      <c r="W223" s="19"/>
      <c r="X223" s="19"/>
      <c r="Y223" s="50"/>
    </row>
    <row r="224" spans="1:25" ht="30.75" customHeight="1" outlineLevel="1" x14ac:dyDescent="0.25">
      <c r="A224" s="60" t="s">
        <v>283</v>
      </c>
      <c r="B224" s="58" t="s">
        <v>614</v>
      </c>
      <c r="C224" s="59" t="s">
        <v>98</v>
      </c>
      <c r="D224" s="51">
        <v>0</v>
      </c>
      <c r="E224" s="51">
        <v>0</v>
      </c>
      <c r="F224" s="51">
        <v>0</v>
      </c>
      <c r="G224" s="51">
        <v>0</v>
      </c>
      <c r="H224" s="51">
        <v>1</v>
      </c>
      <c r="I224" s="62">
        <v>0</v>
      </c>
      <c r="J224" s="105">
        <f t="shared" si="58"/>
        <v>1</v>
      </c>
      <c r="K224" s="63">
        <v>0</v>
      </c>
      <c r="L224" s="51">
        <v>0</v>
      </c>
      <c r="M224" s="51">
        <v>0</v>
      </c>
      <c r="N224" s="51">
        <v>0</v>
      </c>
      <c r="O224" s="51">
        <v>0</v>
      </c>
      <c r="P224" s="62">
        <v>0</v>
      </c>
      <c r="Q224" s="105">
        <f t="shared" si="59"/>
        <v>0</v>
      </c>
      <c r="R224" s="92">
        <f t="shared" si="60"/>
        <v>1</v>
      </c>
      <c r="S224" s="84"/>
      <c r="T224" s="47"/>
      <c r="U224" s="19">
        <f t="shared" si="61"/>
        <v>0</v>
      </c>
      <c r="V224" s="19">
        <f t="shared" si="62"/>
        <v>0</v>
      </c>
      <c r="W224" s="19">
        <f t="shared" si="63"/>
        <v>0</v>
      </c>
      <c r="X224" s="19">
        <f t="shared" si="64"/>
        <v>0</v>
      </c>
      <c r="Y224" s="50"/>
    </row>
    <row r="225" spans="1:25" ht="30.75" customHeight="1" outlineLevel="1" x14ac:dyDescent="0.25">
      <c r="A225" s="60" t="s">
        <v>285</v>
      </c>
      <c r="B225" s="58" t="s">
        <v>287</v>
      </c>
      <c r="C225" s="59" t="s">
        <v>98</v>
      </c>
      <c r="D225" s="51">
        <v>0</v>
      </c>
      <c r="E225" s="51">
        <v>0</v>
      </c>
      <c r="F225" s="51">
        <v>0</v>
      </c>
      <c r="G225" s="51">
        <v>0</v>
      </c>
      <c r="H225" s="51">
        <v>1</v>
      </c>
      <c r="I225" s="62">
        <v>0</v>
      </c>
      <c r="J225" s="105">
        <f t="shared" si="58"/>
        <v>1</v>
      </c>
      <c r="K225" s="63">
        <v>0</v>
      </c>
      <c r="L225" s="51">
        <v>0</v>
      </c>
      <c r="M225" s="51">
        <v>0</v>
      </c>
      <c r="N225" s="51">
        <v>0</v>
      </c>
      <c r="O225" s="51">
        <v>0</v>
      </c>
      <c r="P225" s="62">
        <v>0</v>
      </c>
      <c r="Q225" s="105">
        <f t="shared" si="59"/>
        <v>0</v>
      </c>
      <c r="R225" s="92">
        <f t="shared" si="60"/>
        <v>1</v>
      </c>
      <c r="S225" s="84"/>
      <c r="T225" s="47"/>
      <c r="U225" s="19">
        <f t="shared" si="61"/>
        <v>0</v>
      </c>
      <c r="V225" s="19">
        <f t="shared" si="62"/>
        <v>0</v>
      </c>
      <c r="W225" s="19">
        <f t="shared" si="63"/>
        <v>0</v>
      </c>
      <c r="X225" s="19">
        <f t="shared" si="64"/>
        <v>0</v>
      </c>
      <c r="Y225" s="50"/>
    </row>
    <row r="226" spans="1:25" s="75" customFormat="1" outlineLevel="1" x14ac:dyDescent="0.25">
      <c r="A226" s="78" t="s">
        <v>288</v>
      </c>
      <c r="B226" s="68" t="s">
        <v>289</v>
      </c>
      <c r="C226" s="69"/>
      <c r="D226" s="70"/>
      <c r="E226" s="70"/>
      <c r="F226" s="70"/>
      <c r="G226" s="70"/>
      <c r="H226" s="70"/>
      <c r="I226" s="80"/>
      <c r="J226" s="92"/>
      <c r="K226" s="111"/>
      <c r="L226" s="70"/>
      <c r="M226" s="70"/>
      <c r="N226" s="70"/>
      <c r="O226" s="70"/>
      <c r="P226" s="80"/>
      <c r="Q226" s="92"/>
      <c r="R226" s="92"/>
      <c r="S226" s="86"/>
      <c r="T226" s="74"/>
      <c r="U226" s="74"/>
      <c r="V226" s="74"/>
      <c r="W226" s="74"/>
      <c r="X226" s="74"/>
      <c r="Y226" s="77"/>
    </row>
    <row r="227" spans="1:25" outlineLevel="1" x14ac:dyDescent="0.25">
      <c r="A227" s="60" t="s">
        <v>290</v>
      </c>
      <c r="B227" s="58" t="s">
        <v>291</v>
      </c>
      <c r="C227" s="59" t="s">
        <v>98</v>
      </c>
      <c r="D227" s="51">
        <v>162</v>
      </c>
      <c r="E227" s="51">
        <v>339</v>
      </c>
      <c r="F227" s="51"/>
      <c r="G227" s="51">
        <f>300+14+4+4</f>
        <v>322</v>
      </c>
      <c r="H227" s="51"/>
      <c r="I227" s="62">
        <v>62</v>
      </c>
      <c r="J227" s="105">
        <f t="shared" si="58"/>
        <v>885</v>
      </c>
      <c r="K227" s="63">
        <v>106</v>
      </c>
      <c r="L227" s="51">
        <v>176</v>
      </c>
      <c r="M227" s="51"/>
      <c r="N227" s="51">
        <v>124</v>
      </c>
      <c r="O227" s="51"/>
      <c r="P227" s="62">
        <v>136</v>
      </c>
      <c r="Q227" s="105">
        <f t="shared" si="59"/>
        <v>542</v>
      </c>
      <c r="R227" s="92">
        <f t="shared" si="60"/>
        <v>1427</v>
      </c>
      <c r="S227" s="84"/>
      <c r="T227" s="47"/>
      <c r="U227" s="19">
        <f t="shared" ref="U227:U243" si="65">T227+S227</f>
        <v>0</v>
      </c>
      <c r="V227" s="19">
        <f t="shared" ref="V227:V243" si="66">R227*S227</f>
        <v>0</v>
      </c>
      <c r="W227" s="19">
        <f t="shared" ref="W227:W243" si="67">T227*R227</f>
        <v>0</v>
      </c>
      <c r="X227" s="19">
        <f t="shared" ref="X227:X243" si="68">W227+V227</f>
        <v>0</v>
      </c>
      <c r="Y227" s="50"/>
    </row>
    <row r="228" spans="1:25" outlineLevel="1" x14ac:dyDescent="0.25">
      <c r="A228" s="60" t="s">
        <v>292</v>
      </c>
      <c r="B228" s="58" t="s">
        <v>293</v>
      </c>
      <c r="C228" s="59" t="s">
        <v>98</v>
      </c>
      <c r="D228" s="51">
        <v>0</v>
      </c>
      <c r="E228" s="51">
        <v>0</v>
      </c>
      <c r="F228" s="51"/>
      <c r="G228" s="51">
        <v>6</v>
      </c>
      <c r="H228" s="51"/>
      <c r="I228" s="62">
        <v>0</v>
      </c>
      <c r="J228" s="105">
        <f t="shared" si="58"/>
        <v>6</v>
      </c>
      <c r="K228" s="63">
        <v>30</v>
      </c>
      <c r="L228" s="51">
        <v>18</v>
      </c>
      <c r="M228" s="51"/>
      <c r="N228" s="51">
        <v>43</v>
      </c>
      <c r="O228" s="51"/>
      <c r="P228" s="62">
        <v>0</v>
      </c>
      <c r="Q228" s="105">
        <f t="shared" si="59"/>
        <v>91</v>
      </c>
      <c r="R228" s="92">
        <f t="shared" si="60"/>
        <v>97</v>
      </c>
      <c r="S228" s="84"/>
      <c r="T228" s="47"/>
      <c r="U228" s="19">
        <f t="shared" si="65"/>
        <v>0</v>
      </c>
      <c r="V228" s="19">
        <f t="shared" si="66"/>
        <v>0</v>
      </c>
      <c r="W228" s="19">
        <f t="shared" si="67"/>
        <v>0</v>
      </c>
      <c r="X228" s="19">
        <f t="shared" si="68"/>
        <v>0</v>
      </c>
      <c r="Y228" s="50"/>
    </row>
    <row r="229" spans="1:25" outlineLevel="1" x14ac:dyDescent="0.25">
      <c r="A229" s="60" t="s">
        <v>294</v>
      </c>
      <c r="B229" s="58" t="s">
        <v>295</v>
      </c>
      <c r="C229" s="59" t="s">
        <v>98</v>
      </c>
      <c r="D229" s="51">
        <v>0</v>
      </c>
      <c r="E229" s="51">
        <v>3</v>
      </c>
      <c r="F229" s="51"/>
      <c r="G229" s="51">
        <v>0</v>
      </c>
      <c r="H229" s="51"/>
      <c r="I229" s="62">
        <v>0</v>
      </c>
      <c r="J229" s="105">
        <f t="shared" si="58"/>
        <v>3</v>
      </c>
      <c r="K229" s="63">
        <v>0</v>
      </c>
      <c r="L229" s="51">
        <v>10</v>
      </c>
      <c r="M229" s="51"/>
      <c r="N229" s="51">
        <v>0</v>
      </c>
      <c r="O229" s="51"/>
      <c r="P229" s="62">
        <v>0</v>
      </c>
      <c r="Q229" s="105">
        <f t="shared" si="59"/>
        <v>10</v>
      </c>
      <c r="R229" s="92">
        <f t="shared" si="60"/>
        <v>13</v>
      </c>
      <c r="S229" s="84"/>
      <c r="T229" s="47"/>
      <c r="U229" s="19">
        <f t="shared" si="65"/>
        <v>0</v>
      </c>
      <c r="V229" s="19">
        <f t="shared" si="66"/>
        <v>0</v>
      </c>
      <c r="W229" s="19">
        <f t="shared" si="67"/>
        <v>0</v>
      </c>
      <c r="X229" s="19">
        <f t="shared" si="68"/>
        <v>0</v>
      </c>
      <c r="Y229" s="50"/>
    </row>
    <row r="230" spans="1:25" outlineLevel="1" x14ac:dyDescent="0.25">
      <c r="A230" s="60" t="s">
        <v>296</v>
      </c>
      <c r="B230" s="58" t="s">
        <v>297</v>
      </c>
      <c r="C230" s="59" t="s">
        <v>98</v>
      </c>
      <c r="D230" s="51">
        <v>30</v>
      </c>
      <c r="E230" s="51">
        <v>32</v>
      </c>
      <c r="F230" s="51"/>
      <c r="G230" s="51">
        <v>36</v>
      </c>
      <c r="H230" s="51"/>
      <c r="I230" s="62">
        <v>8</v>
      </c>
      <c r="J230" s="105">
        <f t="shared" si="58"/>
        <v>106</v>
      </c>
      <c r="K230" s="63">
        <v>8</v>
      </c>
      <c r="L230" s="51">
        <v>22</v>
      </c>
      <c r="M230" s="51"/>
      <c r="N230" s="51">
        <v>6</v>
      </c>
      <c r="O230" s="51"/>
      <c r="P230" s="62">
        <v>34</v>
      </c>
      <c r="Q230" s="105">
        <f t="shared" si="59"/>
        <v>70</v>
      </c>
      <c r="R230" s="92">
        <f t="shared" si="60"/>
        <v>176</v>
      </c>
      <c r="S230" s="84"/>
      <c r="T230" s="47"/>
      <c r="U230" s="19">
        <f t="shared" si="65"/>
        <v>0</v>
      </c>
      <c r="V230" s="19">
        <f t="shared" si="66"/>
        <v>0</v>
      </c>
      <c r="W230" s="19">
        <f t="shared" si="67"/>
        <v>0</v>
      </c>
      <c r="X230" s="19">
        <f t="shared" si="68"/>
        <v>0</v>
      </c>
      <c r="Y230" s="50"/>
    </row>
    <row r="231" spans="1:25" outlineLevel="1" x14ac:dyDescent="0.25">
      <c r="A231" s="60" t="s">
        <v>533</v>
      </c>
      <c r="B231" s="58" t="s">
        <v>299</v>
      </c>
      <c r="C231" s="59" t="s">
        <v>98</v>
      </c>
      <c r="D231" s="51">
        <v>0</v>
      </c>
      <c r="E231" s="51">
        <v>0</v>
      </c>
      <c r="F231" s="51"/>
      <c r="G231" s="51">
        <v>0</v>
      </c>
      <c r="H231" s="51"/>
      <c r="I231" s="62">
        <v>0</v>
      </c>
      <c r="J231" s="105">
        <f t="shared" si="58"/>
        <v>0</v>
      </c>
      <c r="K231" s="63">
        <v>0</v>
      </c>
      <c r="L231" s="51">
        <v>0</v>
      </c>
      <c r="M231" s="51"/>
      <c r="N231" s="51">
        <v>0</v>
      </c>
      <c r="O231" s="51"/>
      <c r="P231" s="62">
        <v>0</v>
      </c>
      <c r="Q231" s="105">
        <f t="shared" si="59"/>
        <v>0</v>
      </c>
      <c r="R231" s="92">
        <f t="shared" si="60"/>
        <v>0</v>
      </c>
      <c r="S231" s="84"/>
      <c r="T231" s="47"/>
      <c r="U231" s="19">
        <f t="shared" si="65"/>
        <v>0</v>
      </c>
      <c r="V231" s="19">
        <f t="shared" si="66"/>
        <v>0</v>
      </c>
      <c r="W231" s="19">
        <f t="shared" si="67"/>
        <v>0</v>
      </c>
      <c r="X231" s="19">
        <f t="shared" si="68"/>
        <v>0</v>
      </c>
      <c r="Y231" s="50"/>
    </row>
    <row r="232" spans="1:25" outlineLevel="1" x14ac:dyDescent="0.25">
      <c r="A232" s="60" t="s">
        <v>298</v>
      </c>
      <c r="B232" s="58" t="s">
        <v>449</v>
      </c>
      <c r="C232" s="59" t="s">
        <v>98</v>
      </c>
      <c r="D232" s="51">
        <v>10</v>
      </c>
      <c r="E232" s="51">
        <v>17</v>
      </c>
      <c r="F232" s="51"/>
      <c r="G232" s="51">
        <v>0</v>
      </c>
      <c r="H232" s="51"/>
      <c r="I232" s="62">
        <v>0</v>
      </c>
      <c r="J232" s="105">
        <f t="shared" si="58"/>
        <v>27</v>
      </c>
      <c r="K232" s="63">
        <v>0</v>
      </c>
      <c r="L232" s="51">
        <v>0</v>
      </c>
      <c r="M232" s="51"/>
      <c r="N232" s="51">
        <v>0</v>
      </c>
      <c r="O232" s="51"/>
      <c r="P232" s="62">
        <v>2</v>
      </c>
      <c r="Q232" s="105">
        <f t="shared" si="59"/>
        <v>2</v>
      </c>
      <c r="R232" s="92">
        <f t="shared" si="60"/>
        <v>29</v>
      </c>
      <c r="S232" s="84"/>
      <c r="T232" s="47"/>
      <c r="U232" s="19">
        <f>T232+S232</f>
        <v>0</v>
      </c>
      <c r="V232" s="19">
        <f>R232*S232</f>
        <v>0</v>
      </c>
      <c r="W232" s="19">
        <f>T232*R232</f>
        <v>0</v>
      </c>
      <c r="X232" s="19">
        <f>W232+V232</f>
        <v>0</v>
      </c>
      <c r="Y232" s="50"/>
    </row>
    <row r="233" spans="1:25" outlineLevel="1" x14ac:dyDescent="0.25">
      <c r="A233" s="60" t="s">
        <v>450</v>
      </c>
      <c r="B233" s="58" t="s">
        <v>301</v>
      </c>
      <c r="C233" s="59" t="s">
        <v>98</v>
      </c>
      <c r="D233" s="51">
        <v>84</v>
      </c>
      <c r="E233" s="51">
        <v>133</v>
      </c>
      <c r="F233" s="51"/>
      <c r="G233" s="51">
        <f>45-21-9+6</f>
        <v>21</v>
      </c>
      <c r="H233" s="51"/>
      <c r="I233" s="62">
        <v>78</v>
      </c>
      <c r="J233" s="105">
        <f t="shared" si="58"/>
        <v>316</v>
      </c>
      <c r="K233" s="63">
        <v>0</v>
      </c>
      <c r="L233" s="51">
        <v>33</v>
      </c>
      <c r="M233" s="51"/>
      <c r="N233" s="51">
        <v>63</v>
      </c>
      <c r="O233" s="51"/>
      <c r="P233" s="62">
        <v>54</v>
      </c>
      <c r="Q233" s="105">
        <f t="shared" si="59"/>
        <v>150</v>
      </c>
      <c r="R233" s="92">
        <f t="shared" si="60"/>
        <v>466</v>
      </c>
      <c r="S233" s="84"/>
      <c r="T233" s="47"/>
      <c r="U233" s="19">
        <f t="shared" si="65"/>
        <v>0</v>
      </c>
      <c r="V233" s="19">
        <f t="shared" si="66"/>
        <v>0</v>
      </c>
      <c r="W233" s="19">
        <f t="shared" si="67"/>
        <v>0</v>
      </c>
      <c r="X233" s="19">
        <f t="shared" si="68"/>
        <v>0</v>
      </c>
      <c r="Y233" s="50"/>
    </row>
    <row r="234" spans="1:25" outlineLevel="1" x14ac:dyDescent="0.25">
      <c r="A234" s="60" t="s">
        <v>534</v>
      </c>
      <c r="B234" s="58" t="s">
        <v>303</v>
      </c>
      <c r="C234" s="59" t="s">
        <v>98</v>
      </c>
      <c r="D234" s="51">
        <v>4</v>
      </c>
      <c r="E234" s="51">
        <v>0</v>
      </c>
      <c r="F234" s="51"/>
      <c r="G234" s="51">
        <f>36+2</f>
        <v>38</v>
      </c>
      <c r="H234" s="51"/>
      <c r="I234" s="62">
        <v>0</v>
      </c>
      <c r="J234" s="105">
        <f t="shared" si="58"/>
        <v>42</v>
      </c>
      <c r="K234" s="63">
        <f>44+16</f>
        <v>60</v>
      </c>
      <c r="L234" s="51">
        <v>34</v>
      </c>
      <c r="M234" s="51"/>
      <c r="N234" s="51">
        <v>12</v>
      </c>
      <c r="O234" s="51"/>
      <c r="P234" s="62">
        <v>0</v>
      </c>
      <c r="Q234" s="105">
        <f t="shared" si="59"/>
        <v>106</v>
      </c>
      <c r="R234" s="92">
        <f t="shared" si="60"/>
        <v>148</v>
      </c>
      <c r="S234" s="84"/>
      <c r="T234" s="47"/>
      <c r="U234" s="19">
        <f t="shared" si="65"/>
        <v>0</v>
      </c>
      <c r="V234" s="19">
        <f t="shared" si="66"/>
        <v>0</v>
      </c>
      <c r="W234" s="19">
        <f t="shared" si="67"/>
        <v>0</v>
      </c>
      <c r="X234" s="19">
        <f t="shared" si="68"/>
        <v>0</v>
      </c>
      <c r="Y234" s="50"/>
    </row>
    <row r="235" spans="1:25" outlineLevel="1" x14ac:dyDescent="0.25">
      <c r="A235" s="60" t="s">
        <v>535</v>
      </c>
      <c r="B235" s="58" t="s">
        <v>305</v>
      </c>
      <c r="C235" s="59" t="s">
        <v>98</v>
      </c>
      <c r="D235" s="51">
        <v>30</v>
      </c>
      <c r="E235" s="51">
        <v>11</v>
      </c>
      <c r="F235" s="51"/>
      <c r="G235" s="51">
        <v>6</v>
      </c>
      <c r="H235" s="51"/>
      <c r="I235" s="62">
        <v>12</v>
      </c>
      <c r="J235" s="105">
        <f t="shared" si="58"/>
        <v>59</v>
      </c>
      <c r="K235" s="63">
        <v>0</v>
      </c>
      <c r="L235" s="51">
        <v>0</v>
      </c>
      <c r="M235" s="51"/>
      <c r="N235" s="51">
        <v>6</v>
      </c>
      <c r="O235" s="51"/>
      <c r="P235" s="62">
        <v>18</v>
      </c>
      <c r="Q235" s="105">
        <f t="shared" si="59"/>
        <v>24</v>
      </c>
      <c r="R235" s="92">
        <f t="shared" si="60"/>
        <v>83</v>
      </c>
      <c r="S235" s="84"/>
      <c r="T235" s="47"/>
      <c r="U235" s="19">
        <f t="shared" si="65"/>
        <v>0</v>
      </c>
      <c r="V235" s="19">
        <f t="shared" si="66"/>
        <v>0</v>
      </c>
      <c r="W235" s="19">
        <f t="shared" si="67"/>
        <v>0</v>
      </c>
      <c r="X235" s="19">
        <f t="shared" si="68"/>
        <v>0</v>
      </c>
      <c r="Y235" s="50"/>
    </row>
    <row r="236" spans="1:25" outlineLevel="1" x14ac:dyDescent="0.25">
      <c r="A236" s="60" t="s">
        <v>536</v>
      </c>
      <c r="B236" s="58" t="s">
        <v>307</v>
      </c>
      <c r="C236" s="59" t="s">
        <v>98</v>
      </c>
      <c r="D236" s="51">
        <v>0</v>
      </c>
      <c r="E236" s="51">
        <v>0</v>
      </c>
      <c r="F236" s="51"/>
      <c r="G236" s="51">
        <v>0</v>
      </c>
      <c r="H236" s="51"/>
      <c r="I236" s="62">
        <v>0</v>
      </c>
      <c r="J236" s="105">
        <f t="shared" si="58"/>
        <v>0</v>
      </c>
      <c r="K236" s="63">
        <v>0</v>
      </c>
      <c r="L236" s="51">
        <v>6</v>
      </c>
      <c r="M236" s="51"/>
      <c r="N236" s="51">
        <v>12</v>
      </c>
      <c r="O236" s="51"/>
      <c r="P236" s="62">
        <v>0</v>
      </c>
      <c r="Q236" s="105">
        <f t="shared" si="59"/>
        <v>18</v>
      </c>
      <c r="R236" s="92">
        <f t="shared" si="60"/>
        <v>18</v>
      </c>
      <c r="S236" s="84"/>
      <c r="T236" s="47"/>
      <c r="U236" s="19">
        <f t="shared" si="65"/>
        <v>0</v>
      </c>
      <c r="V236" s="19">
        <f t="shared" si="66"/>
        <v>0</v>
      </c>
      <c r="W236" s="19">
        <f t="shared" si="67"/>
        <v>0</v>
      </c>
      <c r="X236" s="19">
        <f t="shared" si="68"/>
        <v>0</v>
      </c>
      <c r="Y236" s="50"/>
    </row>
    <row r="237" spans="1:25" outlineLevel="1" x14ac:dyDescent="0.25">
      <c r="A237" s="60" t="s">
        <v>300</v>
      </c>
      <c r="B237" s="58" t="s">
        <v>309</v>
      </c>
      <c r="C237" s="59" t="s">
        <v>98</v>
      </c>
      <c r="D237" s="51">
        <v>0</v>
      </c>
      <c r="E237" s="51">
        <v>0</v>
      </c>
      <c r="F237" s="51"/>
      <c r="G237" s="51">
        <v>9</v>
      </c>
      <c r="H237" s="51"/>
      <c r="I237" s="62">
        <v>0</v>
      </c>
      <c r="J237" s="105">
        <f t="shared" si="58"/>
        <v>9</v>
      </c>
      <c r="K237" s="63">
        <v>0</v>
      </c>
      <c r="L237" s="51">
        <v>0</v>
      </c>
      <c r="M237" s="51"/>
      <c r="N237" s="51">
        <v>0</v>
      </c>
      <c r="O237" s="51"/>
      <c r="P237" s="62">
        <v>0</v>
      </c>
      <c r="Q237" s="105">
        <f t="shared" si="59"/>
        <v>0</v>
      </c>
      <c r="R237" s="92">
        <f t="shared" si="60"/>
        <v>9</v>
      </c>
      <c r="S237" s="84"/>
      <c r="T237" s="47"/>
      <c r="U237" s="19">
        <f t="shared" si="65"/>
        <v>0</v>
      </c>
      <c r="V237" s="19">
        <f t="shared" si="66"/>
        <v>0</v>
      </c>
      <c r="W237" s="19">
        <f t="shared" si="67"/>
        <v>0</v>
      </c>
      <c r="X237" s="19">
        <f t="shared" si="68"/>
        <v>0</v>
      </c>
      <c r="Y237" s="50"/>
    </row>
    <row r="238" spans="1:25" outlineLevel="1" x14ac:dyDescent="0.25">
      <c r="A238" s="60" t="s">
        <v>302</v>
      </c>
      <c r="B238" s="58" t="s">
        <v>310</v>
      </c>
      <c r="C238" s="59" t="s">
        <v>98</v>
      </c>
      <c r="D238" s="51">
        <v>14</v>
      </c>
      <c r="E238" s="51">
        <v>0</v>
      </c>
      <c r="F238" s="51"/>
      <c r="G238" s="51">
        <v>2</v>
      </c>
      <c r="H238" s="51"/>
      <c r="I238" s="62">
        <v>6</v>
      </c>
      <c r="J238" s="105">
        <f t="shared" si="58"/>
        <v>22</v>
      </c>
      <c r="K238" s="63">
        <v>2</v>
      </c>
      <c r="L238" s="51">
        <v>6</v>
      </c>
      <c r="M238" s="51"/>
      <c r="N238" s="51">
        <v>0</v>
      </c>
      <c r="O238" s="51"/>
      <c r="P238" s="62">
        <v>0</v>
      </c>
      <c r="Q238" s="105">
        <f t="shared" si="59"/>
        <v>8</v>
      </c>
      <c r="R238" s="92">
        <f t="shared" si="60"/>
        <v>30</v>
      </c>
      <c r="S238" s="84"/>
      <c r="T238" s="47"/>
      <c r="U238" s="19">
        <f t="shared" si="65"/>
        <v>0</v>
      </c>
      <c r="V238" s="19">
        <f t="shared" si="66"/>
        <v>0</v>
      </c>
      <c r="W238" s="19">
        <f t="shared" si="67"/>
        <v>0</v>
      </c>
      <c r="X238" s="19">
        <f t="shared" si="68"/>
        <v>0</v>
      </c>
      <c r="Y238" s="50"/>
    </row>
    <row r="239" spans="1:25" outlineLevel="1" x14ac:dyDescent="0.25">
      <c r="A239" s="60" t="s">
        <v>537</v>
      </c>
      <c r="B239" s="58" t="s">
        <v>311</v>
      </c>
      <c r="C239" s="59" t="s">
        <v>98</v>
      </c>
      <c r="D239" s="51">
        <v>0</v>
      </c>
      <c r="E239" s="51">
        <v>0</v>
      </c>
      <c r="F239" s="51"/>
      <c r="G239" s="51">
        <v>0</v>
      </c>
      <c r="H239" s="51"/>
      <c r="I239" s="62">
        <v>0</v>
      </c>
      <c r="J239" s="105">
        <f t="shared" si="58"/>
        <v>0</v>
      </c>
      <c r="K239" s="63">
        <v>16</v>
      </c>
      <c r="L239" s="51">
        <v>3</v>
      </c>
      <c r="M239" s="51"/>
      <c r="N239" s="51">
        <v>0</v>
      </c>
      <c r="O239" s="51"/>
      <c r="P239" s="62">
        <v>0</v>
      </c>
      <c r="Q239" s="105">
        <f t="shared" si="59"/>
        <v>19</v>
      </c>
      <c r="R239" s="92">
        <f t="shared" si="60"/>
        <v>19</v>
      </c>
      <c r="S239" s="84"/>
      <c r="T239" s="47"/>
      <c r="U239" s="19">
        <f t="shared" si="65"/>
        <v>0</v>
      </c>
      <c r="V239" s="19">
        <f t="shared" si="66"/>
        <v>0</v>
      </c>
      <c r="W239" s="19">
        <f t="shared" si="67"/>
        <v>0</v>
      </c>
      <c r="X239" s="19">
        <f t="shared" si="68"/>
        <v>0</v>
      </c>
      <c r="Y239" s="50"/>
    </row>
    <row r="240" spans="1:25" outlineLevel="1" x14ac:dyDescent="0.25">
      <c r="A240" s="60" t="s">
        <v>538</v>
      </c>
      <c r="B240" s="58" t="s">
        <v>530</v>
      </c>
      <c r="C240" s="59" t="s">
        <v>98</v>
      </c>
      <c r="D240" s="51">
        <v>10</v>
      </c>
      <c r="E240" s="51">
        <v>0</v>
      </c>
      <c r="F240" s="51"/>
      <c r="G240" s="51">
        <v>0</v>
      </c>
      <c r="H240" s="51"/>
      <c r="I240" s="62">
        <v>0</v>
      </c>
      <c r="J240" s="105">
        <f t="shared" si="58"/>
        <v>10</v>
      </c>
      <c r="K240" s="63">
        <v>0</v>
      </c>
      <c r="L240" s="51">
        <v>0</v>
      </c>
      <c r="M240" s="51"/>
      <c r="N240" s="51">
        <v>0</v>
      </c>
      <c r="O240" s="51"/>
      <c r="P240" s="62">
        <v>0</v>
      </c>
      <c r="Q240" s="105">
        <f t="shared" si="59"/>
        <v>0</v>
      </c>
      <c r="R240" s="92">
        <f t="shared" si="60"/>
        <v>10</v>
      </c>
      <c r="S240" s="84"/>
      <c r="T240" s="47"/>
      <c r="U240" s="19"/>
      <c r="V240" s="19"/>
      <c r="W240" s="19"/>
      <c r="X240" s="19"/>
      <c r="Y240" s="50"/>
    </row>
    <row r="241" spans="1:25" outlineLevel="1" x14ac:dyDescent="0.25">
      <c r="A241" s="60" t="s">
        <v>304</v>
      </c>
      <c r="B241" s="58" t="s">
        <v>531</v>
      </c>
      <c r="C241" s="59" t="s">
        <v>98</v>
      </c>
      <c r="D241" s="51">
        <v>2</v>
      </c>
      <c r="E241" s="51">
        <v>0</v>
      </c>
      <c r="F241" s="51"/>
      <c r="G241" s="51">
        <v>0</v>
      </c>
      <c r="H241" s="51"/>
      <c r="I241" s="62">
        <v>0</v>
      </c>
      <c r="J241" s="105">
        <f t="shared" si="58"/>
        <v>2</v>
      </c>
      <c r="K241" s="63">
        <v>0</v>
      </c>
      <c r="L241" s="51">
        <v>0</v>
      </c>
      <c r="M241" s="51"/>
      <c r="N241" s="51">
        <v>0</v>
      </c>
      <c r="O241" s="51"/>
      <c r="P241" s="62">
        <v>0</v>
      </c>
      <c r="Q241" s="105">
        <f t="shared" si="59"/>
        <v>0</v>
      </c>
      <c r="R241" s="92">
        <f t="shared" si="60"/>
        <v>2</v>
      </c>
      <c r="S241" s="84"/>
      <c r="T241" s="47"/>
      <c r="U241" s="19"/>
      <c r="V241" s="19"/>
      <c r="W241" s="19"/>
      <c r="X241" s="19"/>
      <c r="Y241" s="50"/>
    </row>
    <row r="242" spans="1:25" outlineLevel="1" x14ac:dyDescent="0.25">
      <c r="A242" s="60" t="s">
        <v>306</v>
      </c>
      <c r="B242" s="58" t="s">
        <v>532</v>
      </c>
      <c r="C242" s="59" t="s">
        <v>98</v>
      </c>
      <c r="D242" s="51">
        <v>0</v>
      </c>
      <c r="E242" s="51">
        <v>0</v>
      </c>
      <c r="F242" s="51"/>
      <c r="G242" s="51">
        <v>0</v>
      </c>
      <c r="H242" s="51"/>
      <c r="I242" s="62">
        <v>6</v>
      </c>
      <c r="J242" s="105">
        <f t="shared" si="58"/>
        <v>6</v>
      </c>
      <c r="K242" s="63">
        <v>0</v>
      </c>
      <c r="L242" s="51">
        <v>0</v>
      </c>
      <c r="M242" s="51"/>
      <c r="N242" s="51">
        <v>0</v>
      </c>
      <c r="O242" s="51"/>
      <c r="P242" s="62">
        <v>0</v>
      </c>
      <c r="Q242" s="105">
        <f t="shared" si="59"/>
        <v>0</v>
      </c>
      <c r="R242" s="92">
        <f t="shared" si="60"/>
        <v>6</v>
      </c>
      <c r="S242" s="84"/>
      <c r="T242" s="47"/>
      <c r="U242" s="19"/>
      <c r="V242" s="19"/>
      <c r="W242" s="19"/>
      <c r="X242" s="19"/>
      <c r="Y242" s="50"/>
    </row>
    <row r="243" spans="1:25" ht="53.25" customHeight="1" outlineLevel="1" x14ac:dyDescent="0.25">
      <c r="A243" s="60" t="s">
        <v>308</v>
      </c>
      <c r="B243" s="58" t="s">
        <v>312</v>
      </c>
      <c r="C243" s="59" t="s">
        <v>98</v>
      </c>
      <c r="D243" s="51">
        <f t="shared" ref="D243:P243" si="69">SUM(D190:D225)</f>
        <v>158</v>
      </c>
      <c r="E243" s="51">
        <f t="shared" si="69"/>
        <v>123</v>
      </c>
      <c r="F243" s="51">
        <f t="shared" si="69"/>
        <v>131</v>
      </c>
      <c r="G243" s="51">
        <f t="shared" si="69"/>
        <v>95</v>
      </c>
      <c r="H243" s="51">
        <f t="shared" si="69"/>
        <v>120</v>
      </c>
      <c r="I243" s="62">
        <f t="shared" si="69"/>
        <v>70</v>
      </c>
      <c r="J243" s="105">
        <f t="shared" si="58"/>
        <v>697</v>
      </c>
      <c r="K243" s="63">
        <f t="shared" si="69"/>
        <v>111</v>
      </c>
      <c r="L243" s="51">
        <f t="shared" si="69"/>
        <v>88</v>
      </c>
      <c r="M243" s="51">
        <f t="shared" si="69"/>
        <v>62</v>
      </c>
      <c r="N243" s="51">
        <f t="shared" si="69"/>
        <v>65</v>
      </c>
      <c r="O243" s="51">
        <f t="shared" si="69"/>
        <v>54</v>
      </c>
      <c r="P243" s="62">
        <f t="shared" si="69"/>
        <v>115</v>
      </c>
      <c r="Q243" s="105">
        <f t="shared" si="59"/>
        <v>495</v>
      </c>
      <c r="R243" s="92">
        <f t="shared" si="60"/>
        <v>1192</v>
      </c>
      <c r="S243" s="84"/>
      <c r="T243" s="47"/>
      <c r="U243" s="19">
        <f t="shared" si="65"/>
        <v>0</v>
      </c>
      <c r="V243" s="19">
        <f t="shared" si="66"/>
        <v>0</v>
      </c>
      <c r="W243" s="19">
        <f t="shared" si="67"/>
        <v>0</v>
      </c>
      <c r="X243" s="19">
        <f t="shared" si="68"/>
        <v>0</v>
      </c>
      <c r="Y243" s="50"/>
    </row>
    <row r="244" spans="1:25" s="75" customFormat="1" ht="53.25" customHeight="1" outlineLevel="1" x14ac:dyDescent="0.25">
      <c r="A244" s="67" t="s">
        <v>313</v>
      </c>
      <c r="B244" s="68" t="s">
        <v>314</v>
      </c>
      <c r="C244" s="69"/>
      <c r="D244" s="71"/>
      <c r="E244" s="71"/>
      <c r="F244" s="71"/>
      <c r="G244" s="71"/>
      <c r="H244" s="71"/>
      <c r="I244" s="97"/>
      <c r="J244" s="92"/>
      <c r="K244" s="112"/>
      <c r="L244" s="71"/>
      <c r="M244" s="71"/>
      <c r="N244" s="71"/>
      <c r="O244" s="71"/>
      <c r="P244" s="97"/>
      <c r="Q244" s="92"/>
      <c r="R244" s="92"/>
      <c r="S244" s="86"/>
      <c r="T244" s="74"/>
      <c r="U244" s="74"/>
      <c r="V244" s="74"/>
      <c r="W244" s="74"/>
      <c r="X244" s="74"/>
      <c r="Y244" s="77"/>
    </row>
    <row r="245" spans="1:25" ht="38.25" outlineLevel="1" x14ac:dyDescent="0.25">
      <c r="A245" s="24" t="s">
        <v>315</v>
      </c>
      <c r="B245" s="17" t="s">
        <v>316</v>
      </c>
      <c r="C245" s="18" t="s">
        <v>38</v>
      </c>
      <c r="D245" s="51">
        <v>1.9</v>
      </c>
      <c r="E245" s="51">
        <v>5.7</v>
      </c>
      <c r="F245" s="51">
        <v>3.8</v>
      </c>
      <c r="G245" s="51">
        <v>5.7</v>
      </c>
      <c r="H245" s="51">
        <v>3.8</v>
      </c>
      <c r="I245" s="62">
        <v>0</v>
      </c>
      <c r="J245" s="105">
        <f t="shared" si="58"/>
        <v>20.9</v>
      </c>
      <c r="K245" s="63">
        <v>5.7</v>
      </c>
      <c r="L245" s="51">
        <v>5.7</v>
      </c>
      <c r="M245" s="51">
        <v>5.7</v>
      </c>
      <c r="N245" s="51">
        <v>3.8</v>
      </c>
      <c r="O245" s="51">
        <v>1.9</v>
      </c>
      <c r="P245" s="62">
        <v>0</v>
      </c>
      <c r="Q245" s="105">
        <f t="shared" si="59"/>
        <v>22.8</v>
      </c>
      <c r="R245" s="92">
        <f t="shared" si="60"/>
        <v>43.7</v>
      </c>
      <c r="S245" s="84"/>
      <c r="T245" s="47"/>
      <c r="U245" s="19">
        <f>T245+S245</f>
        <v>0</v>
      </c>
      <c r="V245" s="19">
        <f>R245*S245</f>
        <v>0</v>
      </c>
      <c r="W245" s="19">
        <f>T245*R245</f>
        <v>0</v>
      </c>
      <c r="X245" s="19">
        <f>W245+V245</f>
        <v>0</v>
      </c>
      <c r="Y245" s="50"/>
    </row>
    <row r="246" spans="1:25" s="75" customFormat="1" ht="38.25" outlineLevel="1" x14ac:dyDescent="0.25">
      <c r="A246" s="78" t="s">
        <v>317</v>
      </c>
      <c r="B246" s="68" t="s">
        <v>318</v>
      </c>
      <c r="C246" s="69"/>
      <c r="D246" s="71"/>
      <c r="E246" s="71"/>
      <c r="F246" s="71"/>
      <c r="G246" s="71"/>
      <c r="H246" s="71"/>
      <c r="I246" s="97"/>
      <c r="J246" s="92"/>
      <c r="K246" s="112"/>
      <c r="L246" s="71"/>
      <c r="M246" s="71"/>
      <c r="N246" s="71"/>
      <c r="O246" s="71"/>
      <c r="P246" s="97"/>
      <c r="Q246" s="92"/>
      <c r="R246" s="92"/>
      <c r="S246" s="86"/>
      <c r="T246" s="74"/>
      <c r="U246" s="74"/>
      <c r="V246" s="74"/>
      <c r="W246" s="74"/>
      <c r="X246" s="74"/>
      <c r="Y246" s="77"/>
    </row>
    <row r="247" spans="1:25" outlineLevel="1" x14ac:dyDescent="0.25">
      <c r="A247" s="16" t="s">
        <v>319</v>
      </c>
      <c r="B247" s="20" t="s">
        <v>320</v>
      </c>
      <c r="C247" s="21" t="s">
        <v>98</v>
      </c>
      <c r="D247" s="51">
        <v>6</v>
      </c>
      <c r="E247" s="244">
        <v>0</v>
      </c>
      <c r="F247" s="245"/>
      <c r="G247" s="244">
        <v>0</v>
      </c>
      <c r="H247" s="245"/>
      <c r="I247" s="62">
        <v>0</v>
      </c>
      <c r="J247" s="105">
        <f t="shared" si="58"/>
        <v>6</v>
      </c>
      <c r="K247" s="63">
        <v>6</v>
      </c>
      <c r="L247" s="244">
        <v>24</v>
      </c>
      <c r="M247" s="245"/>
      <c r="N247" s="244">
        <v>0</v>
      </c>
      <c r="O247" s="245"/>
      <c r="P247" s="62">
        <v>0</v>
      </c>
      <c r="Q247" s="105">
        <f t="shared" si="59"/>
        <v>30</v>
      </c>
      <c r="R247" s="92">
        <f t="shared" si="60"/>
        <v>36</v>
      </c>
      <c r="S247" s="84"/>
      <c r="T247" s="47"/>
      <c r="U247" s="19">
        <f t="shared" ref="U247:U253" si="70">T247+S247</f>
        <v>0</v>
      </c>
      <c r="V247" s="19">
        <f t="shared" ref="V247:V253" si="71">R247*S247</f>
        <v>0</v>
      </c>
      <c r="W247" s="19">
        <f t="shared" ref="W247:W253" si="72">T247*R247</f>
        <v>0</v>
      </c>
      <c r="X247" s="19">
        <f t="shared" ref="X247:X253" si="73">W247+V247</f>
        <v>0</v>
      </c>
      <c r="Y247" s="50"/>
    </row>
    <row r="248" spans="1:25" outlineLevel="1" x14ac:dyDescent="0.25">
      <c r="A248" s="16" t="s">
        <v>321</v>
      </c>
      <c r="B248" s="20" t="s">
        <v>322</v>
      </c>
      <c r="C248" s="21" t="s">
        <v>98</v>
      </c>
      <c r="D248" s="51">
        <v>0</v>
      </c>
      <c r="E248" s="244">
        <v>0</v>
      </c>
      <c r="F248" s="245"/>
      <c r="G248" s="244">
        <v>6</v>
      </c>
      <c r="H248" s="245"/>
      <c r="I248" s="62">
        <v>0</v>
      </c>
      <c r="J248" s="105">
        <f t="shared" si="58"/>
        <v>6</v>
      </c>
      <c r="K248" s="63">
        <v>0</v>
      </c>
      <c r="L248" s="244">
        <v>12</v>
      </c>
      <c r="M248" s="245"/>
      <c r="N248" s="244">
        <v>18</v>
      </c>
      <c r="O248" s="245"/>
      <c r="P248" s="62">
        <v>0</v>
      </c>
      <c r="Q248" s="105">
        <f t="shared" si="59"/>
        <v>30</v>
      </c>
      <c r="R248" s="92">
        <f t="shared" si="60"/>
        <v>36</v>
      </c>
      <c r="S248" s="84"/>
      <c r="T248" s="47"/>
      <c r="U248" s="19">
        <f t="shared" si="70"/>
        <v>0</v>
      </c>
      <c r="V248" s="19">
        <f t="shared" si="71"/>
        <v>0</v>
      </c>
      <c r="W248" s="19">
        <f t="shared" si="72"/>
        <v>0</v>
      </c>
      <c r="X248" s="19">
        <f t="shared" si="73"/>
        <v>0</v>
      </c>
      <c r="Y248" s="50"/>
    </row>
    <row r="249" spans="1:25" outlineLevel="1" x14ac:dyDescent="0.25">
      <c r="A249" s="16" t="s">
        <v>323</v>
      </c>
      <c r="B249" s="20" t="s">
        <v>324</v>
      </c>
      <c r="C249" s="21" t="s">
        <v>98</v>
      </c>
      <c r="D249" s="51">
        <v>0</v>
      </c>
      <c r="E249" s="244">
        <v>0</v>
      </c>
      <c r="F249" s="245"/>
      <c r="G249" s="244">
        <v>0</v>
      </c>
      <c r="H249" s="245"/>
      <c r="I249" s="62">
        <v>0</v>
      </c>
      <c r="J249" s="105">
        <f t="shared" si="58"/>
        <v>0</v>
      </c>
      <c r="K249" s="63">
        <v>3</v>
      </c>
      <c r="L249" s="244">
        <v>0</v>
      </c>
      <c r="M249" s="245"/>
      <c r="N249" s="244">
        <v>0</v>
      </c>
      <c r="O249" s="245"/>
      <c r="P249" s="62">
        <v>0</v>
      </c>
      <c r="Q249" s="105">
        <f t="shared" si="59"/>
        <v>3</v>
      </c>
      <c r="R249" s="92">
        <f t="shared" si="60"/>
        <v>3</v>
      </c>
      <c r="S249" s="84"/>
      <c r="T249" s="47"/>
      <c r="U249" s="19">
        <f t="shared" si="70"/>
        <v>0</v>
      </c>
      <c r="V249" s="19">
        <f t="shared" si="71"/>
        <v>0</v>
      </c>
      <c r="W249" s="19">
        <f t="shared" si="72"/>
        <v>0</v>
      </c>
      <c r="X249" s="19">
        <f t="shared" si="73"/>
        <v>0</v>
      </c>
      <c r="Y249" s="50"/>
    </row>
    <row r="250" spans="1:25" outlineLevel="1" x14ac:dyDescent="0.25">
      <c r="A250" s="16" t="s">
        <v>325</v>
      </c>
      <c r="B250" s="20" t="s">
        <v>326</v>
      </c>
      <c r="C250" s="21" t="s">
        <v>98</v>
      </c>
      <c r="D250" s="51">
        <v>0</v>
      </c>
      <c r="E250" s="244">
        <v>27</v>
      </c>
      <c r="F250" s="245"/>
      <c r="G250" s="244">
        <v>21</v>
      </c>
      <c r="H250" s="245"/>
      <c r="I250" s="62">
        <v>0</v>
      </c>
      <c r="J250" s="105">
        <f t="shared" si="58"/>
        <v>48</v>
      </c>
      <c r="K250" s="63">
        <v>3</v>
      </c>
      <c r="L250" s="244">
        <v>0</v>
      </c>
      <c r="M250" s="245"/>
      <c r="N250" s="244">
        <v>0</v>
      </c>
      <c r="O250" s="245"/>
      <c r="P250" s="62">
        <v>0</v>
      </c>
      <c r="Q250" s="105">
        <f t="shared" si="59"/>
        <v>3</v>
      </c>
      <c r="R250" s="92">
        <f t="shared" si="60"/>
        <v>51</v>
      </c>
      <c r="S250" s="84"/>
      <c r="T250" s="47"/>
      <c r="U250" s="19">
        <f t="shared" si="70"/>
        <v>0</v>
      </c>
      <c r="V250" s="19">
        <f t="shared" si="71"/>
        <v>0</v>
      </c>
      <c r="W250" s="19">
        <f t="shared" si="72"/>
        <v>0</v>
      </c>
      <c r="X250" s="19">
        <f t="shared" si="73"/>
        <v>0</v>
      </c>
      <c r="Y250" s="50"/>
    </row>
    <row r="251" spans="1:25" outlineLevel="1" x14ac:dyDescent="0.25">
      <c r="A251" s="16" t="s">
        <v>327</v>
      </c>
      <c r="B251" s="20" t="s">
        <v>328</v>
      </c>
      <c r="C251" s="21" t="s">
        <v>98</v>
      </c>
      <c r="D251" s="51">
        <v>0</v>
      </c>
      <c r="E251" s="244">
        <v>0</v>
      </c>
      <c r="F251" s="245"/>
      <c r="G251" s="244">
        <v>3</v>
      </c>
      <c r="H251" s="245"/>
      <c r="I251" s="62">
        <v>0</v>
      </c>
      <c r="J251" s="105">
        <f t="shared" si="58"/>
        <v>3</v>
      </c>
      <c r="K251" s="63">
        <v>0</v>
      </c>
      <c r="L251" s="244">
        <v>0</v>
      </c>
      <c r="M251" s="245"/>
      <c r="N251" s="244">
        <v>0</v>
      </c>
      <c r="O251" s="245"/>
      <c r="P251" s="62">
        <v>0</v>
      </c>
      <c r="Q251" s="105">
        <f t="shared" si="59"/>
        <v>0</v>
      </c>
      <c r="R251" s="92">
        <f t="shared" si="60"/>
        <v>3</v>
      </c>
      <c r="S251" s="84"/>
      <c r="T251" s="47"/>
      <c r="U251" s="19">
        <f t="shared" si="70"/>
        <v>0</v>
      </c>
      <c r="V251" s="19">
        <f t="shared" si="71"/>
        <v>0</v>
      </c>
      <c r="W251" s="19">
        <f t="shared" si="72"/>
        <v>0</v>
      </c>
      <c r="X251" s="19">
        <f t="shared" si="73"/>
        <v>0</v>
      </c>
      <c r="Y251" s="50"/>
    </row>
    <row r="252" spans="1:25" outlineLevel="1" x14ac:dyDescent="0.25">
      <c r="A252" s="16" t="s">
        <v>329</v>
      </c>
      <c r="B252" s="20" t="s">
        <v>330</v>
      </c>
      <c r="C252" s="21" t="s">
        <v>98</v>
      </c>
      <c r="D252" s="51">
        <v>0</v>
      </c>
      <c r="E252" s="244">
        <v>3</v>
      </c>
      <c r="F252" s="245"/>
      <c r="G252" s="246">
        <v>0</v>
      </c>
      <c r="H252" s="247"/>
      <c r="I252" s="62">
        <v>0</v>
      </c>
      <c r="J252" s="105">
        <f t="shared" si="58"/>
        <v>3</v>
      </c>
      <c r="K252" s="63">
        <v>0</v>
      </c>
      <c r="L252" s="244">
        <v>0</v>
      </c>
      <c r="M252" s="245"/>
      <c r="N252" s="244">
        <v>0</v>
      </c>
      <c r="O252" s="245"/>
      <c r="P252" s="62">
        <v>0</v>
      </c>
      <c r="Q252" s="105">
        <f t="shared" si="59"/>
        <v>0</v>
      </c>
      <c r="R252" s="92">
        <f t="shared" si="60"/>
        <v>3</v>
      </c>
      <c r="S252" s="84"/>
      <c r="T252" s="47"/>
      <c r="U252" s="19">
        <f t="shared" si="70"/>
        <v>0</v>
      </c>
      <c r="V252" s="19">
        <f t="shared" si="71"/>
        <v>0</v>
      </c>
      <c r="W252" s="19">
        <f t="shared" si="72"/>
        <v>0</v>
      </c>
      <c r="X252" s="19">
        <f t="shared" si="73"/>
        <v>0</v>
      </c>
      <c r="Y252" s="50"/>
    </row>
    <row r="253" spans="1:25" ht="15.75" outlineLevel="1" thickBot="1" x14ac:dyDescent="0.3">
      <c r="A253" s="16" t="s">
        <v>331</v>
      </c>
      <c r="B253" s="20" t="s">
        <v>332</v>
      </c>
      <c r="C253" s="21" t="s">
        <v>98</v>
      </c>
      <c r="D253" s="51">
        <v>0</v>
      </c>
      <c r="E253" s="244">
        <v>3</v>
      </c>
      <c r="F253" s="245"/>
      <c r="G253" s="246">
        <v>0</v>
      </c>
      <c r="H253" s="247"/>
      <c r="I253" s="62">
        <v>0</v>
      </c>
      <c r="J253" s="106">
        <f t="shared" si="58"/>
        <v>3</v>
      </c>
      <c r="K253" s="63">
        <v>0</v>
      </c>
      <c r="L253" s="244">
        <v>0</v>
      </c>
      <c r="M253" s="245"/>
      <c r="N253" s="244">
        <v>0</v>
      </c>
      <c r="O253" s="245"/>
      <c r="P253" s="62">
        <v>0</v>
      </c>
      <c r="Q253" s="106">
        <f t="shared" si="59"/>
        <v>0</v>
      </c>
      <c r="R253" s="93">
        <f t="shared" si="60"/>
        <v>3</v>
      </c>
      <c r="S253" s="84"/>
      <c r="T253" s="47"/>
      <c r="U253" s="19">
        <f t="shared" si="70"/>
        <v>0</v>
      </c>
      <c r="V253" s="19">
        <f t="shared" si="71"/>
        <v>0</v>
      </c>
      <c r="W253" s="19">
        <f t="shared" si="72"/>
        <v>0</v>
      </c>
      <c r="X253" s="19">
        <f t="shared" si="73"/>
        <v>0</v>
      </c>
      <c r="Y253" s="50"/>
    </row>
    <row r="254" spans="1:25" ht="32.25" customHeight="1" thickBot="1" x14ac:dyDescent="0.3">
      <c r="A254" s="9" t="s">
        <v>333</v>
      </c>
      <c r="B254" s="10" t="s">
        <v>334</v>
      </c>
      <c r="C254" s="11"/>
      <c r="D254" s="12"/>
      <c r="E254" s="12"/>
      <c r="F254" s="12"/>
      <c r="G254" s="12"/>
      <c r="H254" s="12"/>
      <c r="I254" s="12"/>
      <c r="J254" s="101"/>
      <c r="K254" s="12"/>
      <c r="L254" s="12"/>
      <c r="M254" s="12"/>
      <c r="N254" s="12"/>
      <c r="O254" s="12"/>
      <c r="P254" s="12"/>
      <c r="Q254" s="101"/>
      <c r="R254" s="87"/>
      <c r="S254" s="15"/>
      <c r="T254" s="15"/>
      <c r="U254" s="15"/>
      <c r="V254" s="14">
        <f>SUM(V255:V262)</f>
        <v>0</v>
      </c>
      <c r="W254" s="14">
        <f>SUM(W255:W262)</f>
        <v>0</v>
      </c>
      <c r="X254" s="14">
        <f>SUM(X255:X262)</f>
        <v>0</v>
      </c>
      <c r="Y254" s="49"/>
    </row>
    <row r="255" spans="1:25" ht="38.25" outlineLevel="1" x14ac:dyDescent="0.25">
      <c r="A255" s="16" t="s">
        <v>335</v>
      </c>
      <c r="B255" s="17" t="s">
        <v>336</v>
      </c>
      <c r="C255" s="18" t="s">
        <v>38</v>
      </c>
      <c r="D255" s="51">
        <v>283.60999999999996</v>
      </c>
      <c r="E255" s="51">
        <v>189.76</v>
      </c>
      <c r="F255" s="51">
        <v>284.95</v>
      </c>
      <c r="G255" s="51">
        <v>449.84000000000003</v>
      </c>
      <c r="H255" s="51">
        <v>307.21999999999997</v>
      </c>
      <c r="I255" s="62">
        <v>244.26000000000002</v>
      </c>
      <c r="J255" s="107">
        <f t="shared" ref="J255:J262" si="74">SUM(D255:I255)</f>
        <v>1759.6399999999999</v>
      </c>
      <c r="K255" s="63">
        <v>342.59000000000003</v>
      </c>
      <c r="L255" s="51">
        <v>263.51</v>
      </c>
      <c r="M255" s="51">
        <v>175.35999999999999</v>
      </c>
      <c r="N255" s="51">
        <v>193.86999999999998</v>
      </c>
      <c r="O255" s="51">
        <v>137.63</v>
      </c>
      <c r="P255" s="62">
        <v>418.01000000000005</v>
      </c>
      <c r="Q255" s="107">
        <f t="shared" ref="Q255:Q262" si="75">SUM(K255:P255)</f>
        <v>1530.97</v>
      </c>
      <c r="R255" s="94">
        <f t="shared" ref="R255:R262" si="76">J255+Q255</f>
        <v>3290.6099999999997</v>
      </c>
      <c r="S255" s="84"/>
      <c r="T255" s="47"/>
      <c r="U255" s="19">
        <f t="shared" ref="U255:U262" si="77">T255+S255</f>
        <v>0</v>
      </c>
      <c r="V255" s="19">
        <f t="shared" ref="V255:V262" si="78">R255*S255</f>
        <v>0</v>
      </c>
      <c r="W255" s="19">
        <f t="shared" ref="W255:W262" si="79">T255*R255</f>
        <v>0</v>
      </c>
      <c r="X255" s="19">
        <f t="shared" ref="X255:X262" si="80">W255+V255</f>
        <v>0</v>
      </c>
      <c r="Y255" s="50"/>
    </row>
    <row r="256" spans="1:25" ht="38.25" outlineLevel="1" x14ac:dyDescent="0.25">
      <c r="A256" s="16" t="s">
        <v>337</v>
      </c>
      <c r="B256" s="17" t="s">
        <v>88</v>
      </c>
      <c r="C256" s="18" t="s">
        <v>38</v>
      </c>
      <c r="D256" s="51">
        <v>283.60999999999996</v>
      </c>
      <c r="E256" s="51">
        <v>189.76</v>
      </c>
      <c r="F256" s="51">
        <v>284.95</v>
      </c>
      <c r="G256" s="51">
        <v>449.84000000000003</v>
      </c>
      <c r="H256" s="51">
        <v>307.21999999999997</v>
      </c>
      <c r="I256" s="62">
        <v>244.26000000000002</v>
      </c>
      <c r="J256" s="105">
        <f t="shared" si="74"/>
        <v>1759.6399999999999</v>
      </c>
      <c r="K256" s="63">
        <v>342.59000000000003</v>
      </c>
      <c r="L256" s="51">
        <v>263.51</v>
      </c>
      <c r="M256" s="51">
        <v>175.35999999999999</v>
      </c>
      <c r="N256" s="51">
        <v>193.86999999999998</v>
      </c>
      <c r="O256" s="51">
        <v>137.63</v>
      </c>
      <c r="P256" s="62">
        <v>418.01000000000005</v>
      </c>
      <c r="Q256" s="105">
        <f t="shared" si="75"/>
        <v>1530.97</v>
      </c>
      <c r="R256" s="92">
        <f t="shared" si="76"/>
        <v>3290.6099999999997</v>
      </c>
      <c r="S256" s="84"/>
      <c r="T256" s="47"/>
      <c r="U256" s="19">
        <f t="shared" si="77"/>
        <v>0</v>
      </c>
      <c r="V256" s="19">
        <f t="shared" si="78"/>
        <v>0</v>
      </c>
      <c r="W256" s="19">
        <f t="shared" si="79"/>
        <v>0</v>
      </c>
      <c r="X256" s="19">
        <f t="shared" si="80"/>
        <v>0</v>
      </c>
      <c r="Y256" s="50"/>
    </row>
    <row r="257" spans="1:25" ht="102" outlineLevel="1" x14ac:dyDescent="0.25">
      <c r="A257" s="16" t="s">
        <v>338</v>
      </c>
      <c r="B257" s="17" t="s">
        <v>339</v>
      </c>
      <c r="C257" s="18" t="s">
        <v>38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62">
        <v>0</v>
      </c>
      <c r="J257" s="105">
        <f t="shared" si="74"/>
        <v>0</v>
      </c>
      <c r="K257" s="63">
        <v>3.27</v>
      </c>
      <c r="L257" s="51">
        <v>0</v>
      </c>
      <c r="M257" s="51">
        <v>0</v>
      </c>
      <c r="N257" s="51">
        <v>0.23</v>
      </c>
      <c r="O257" s="51">
        <v>0.28999999999999998</v>
      </c>
      <c r="P257" s="62">
        <v>12.83</v>
      </c>
      <c r="Q257" s="105">
        <f t="shared" si="75"/>
        <v>16.62</v>
      </c>
      <c r="R257" s="92">
        <f t="shared" si="76"/>
        <v>16.62</v>
      </c>
      <c r="S257" s="84"/>
      <c r="T257" s="47"/>
      <c r="U257" s="19">
        <f t="shared" si="77"/>
        <v>0</v>
      </c>
      <c r="V257" s="19">
        <f t="shared" si="78"/>
        <v>0</v>
      </c>
      <c r="W257" s="19">
        <f t="shared" si="79"/>
        <v>0</v>
      </c>
      <c r="X257" s="19">
        <f t="shared" si="80"/>
        <v>0</v>
      </c>
      <c r="Y257" s="50"/>
    </row>
    <row r="258" spans="1:25" ht="76.5" outlineLevel="1" x14ac:dyDescent="0.25">
      <c r="A258" s="16" t="s">
        <v>340</v>
      </c>
      <c r="B258" s="17" t="s">
        <v>341</v>
      </c>
      <c r="C258" s="18" t="s">
        <v>38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62">
        <v>0</v>
      </c>
      <c r="J258" s="105">
        <f t="shared" si="74"/>
        <v>0</v>
      </c>
      <c r="K258" s="63">
        <v>3.97</v>
      </c>
      <c r="L258" s="51">
        <v>0</v>
      </c>
      <c r="M258" s="51">
        <v>0</v>
      </c>
      <c r="N258" s="51">
        <v>0</v>
      </c>
      <c r="O258" s="51">
        <v>0</v>
      </c>
      <c r="P258" s="62">
        <v>0</v>
      </c>
      <c r="Q258" s="105">
        <f t="shared" si="75"/>
        <v>3.97</v>
      </c>
      <c r="R258" s="92">
        <f t="shared" si="76"/>
        <v>3.97</v>
      </c>
      <c r="S258" s="84"/>
      <c r="T258" s="47"/>
      <c r="U258" s="19">
        <f t="shared" si="77"/>
        <v>0</v>
      </c>
      <c r="V258" s="19">
        <f t="shared" si="78"/>
        <v>0</v>
      </c>
      <c r="W258" s="19">
        <f t="shared" si="79"/>
        <v>0</v>
      </c>
      <c r="X258" s="19">
        <f t="shared" si="80"/>
        <v>0</v>
      </c>
      <c r="Y258" s="50"/>
    </row>
    <row r="259" spans="1:25" ht="63.75" outlineLevel="1" x14ac:dyDescent="0.25">
      <c r="A259" s="16" t="s">
        <v>342</v>
      </c>
      <c r="B259" s="17" t="s">
        <v>343</v>
      </c>
      <c r="C259" s="18" t="s">
        <v>38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62">
        <v>0</v>
      </c>
      <c r="J259" s="105">
        <f t="shared" si="74"/>
        <v>0</v>
      </c>
      <c r="K259" s="63">
        <v>0</v>
      </c>
      <c r="L259" s="51">
        <v>0</v>
      </c>
      <c r="M259" s="51">
        <v>0</v>
      </c>
      <c r="N259" s="51">
        <v>0</v>
      </c>
      <c r="O259" s="51">
        <v>0</v>
      </c>
      <c r="P259" s="62">
        <v>0</v>
      </c>
      <c r="Q259" s="105">
        <f t="shared" si="75"/>
        <v>0</v>
      </c>
      <c r="R259" s="92">
        <f t="shared" si="76"/>
        <v>0</v>
      </c>
      <c r="S259" s="84"/>
      <c r="T259" s="47"/>
      <c r="U259" s="19">
        <f t="shared" si="77"/>
        <v>0</v>
      </c>
      <c r="V259" s="19">
        <f t="shared" si="78"/>
        <v>0</v>
      </c>
      <c r="W259" s="19">
        <f t="shared" si="79"/>
        <v>0</v>
      </c>
      <c r="X259" s="19">
        <f t="shared" si="80"/>
        <v>0</v>
      </c>
      <c r="Y259" s="50"/>
    </row>
    <row r="260" spans="1:25" ht="38.25" outlineLevel="1" x14ac:dyDescent="0.25">
      <c r="A260" s="16" t="s">
        <v>344</v>
      </c>
      <c r="B260" s="17" t="s">
        <v>345</v>
      </c>
      <c r="C260" s="18" t="s">
        <v>38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62">
        <v>0</v>
      </c>
      <c r="J260" s="105">
        <f t="shared" si="74"/>
        <v>0</v>
      </c>
      <c r="K260" s="63">
        <v>102.8</v>
      </c>
      <c r="L260" s="51">
        <v>0</v>
      </c>
      <c r="M260" s="51">
        <v>0</v>
      </c>
      <c r="N260" s="51">
        <v>0</v>
      </c>
      <c r="O260" s="51">
        <v>0</v>
      </c>
      <c r="P260" s="62">
        <v>0</v>
      </c>
      <c r="Q260" s="105">
        <f t="shared" si="75"/>
        <v>102.8</v>
      </c>
      <c r="R260" s="92">
        <f t="shared" si="76"/>
        <v>102.8</v>
      </c>
      <c r="S260" s="84"/>
      <c r="T260" s="47"/>
      <c r="U260" s="19">
        <f t="shared" si="77"/>
        <v>0</v>
      </c>
      <c r="V260" s="19">
        <f t="shared" si="78"/>
        <v>0</v>
      </c>
      <c r="W260" s="19">
        <f t="shared" si="79"/>
        <v>0</v>
      </c>
      <c r="X260" s="19">
        <f t="shared" si="80"/>
        <v>0</v>
      </c>
      <c r="Y260" s="50"/>
    </row>
    <row r="261" spans="1:25" ht="25.5" outlineLevel="1" x14ac:dyDescent="0.25">
      <c r="A261" s="16" t="s">
        <v>346</v>
      </c>
      <c r="B261" s="17" t="s">
        <v>347</v>
      </c>
      <c r="C261" s="18" t="s">
        <v>38</v>
      </c>
      <c r="D261" s="51">
        <v>0</v>
      </c>
      <c r="E261" s="51">
        <v>17.84</v>
      </c>
      <c r="F261" s="51">
        <v>1.97</v>
      </c>
      <c r="G261" s="51">
        <v>76.63</v>
      </c>
      <c r="H261" s="51">
        <v>62.52</v>
      </c>
      <c r="I261" s="62">
        <v>0</v>
      </c>
      <c r="J261" s="105">
        <f t="shared" si="74"/>
        <v>158.96</v>
      </c>
      <c r="K261" s="63">
        <v>0</v>
      </c>
      <c r="L261" s="51">
        <v>23.45</v>
      </c>
      <c r="M261" s="51">
        <v>53.63</v>
      </c>
      <c r="N261" s="51">
        <v>48.67</v>
      </c>
      <c r="O261" s="51">
        <v>51.54</v>
      </c>
      <c r="P261" s="62">
        <v>0</v>
      </c>
      <c r="Q261" s="105">
        <f t="shared" si="75"/>
        <v>177.29</v>
      </c>
      <c r="R261" s="92">
        <f t="shared" si="76"/>
        <v>336.25</v>
      </c>
      <c r="S261" s="84"/>
      <c r="T261" s="47"/>
      <c r="U261" s="19">
        <f t="shared" si="77"/>
        <v>0</v>
      </c>
      <c r="V261" s="19">
        <f t="shared" si="78"/>
        <v>0</v>
      </c>
      <c r="W261" s="19">
        <f t="shared" si="79"/>
        <v>0</v>
      </c>
      <c r="X261" s="19">
        <f t="shared" si="80"/>
        <v>0</v>
      </c>
      <c r="Y261" s="50"/>
    </row>
    <row r="262" spans="1:25" ht="39" outlineLevel="1" thickBot="1" x14ac:dyDescent="0.3">
      <c r="A262" s="16" t="s">
        <v>348</v>
      </c>
      <c r="B262" s="17" t="s">
        <v>349</v>
      </c>
      <c r="C262" s="18" t="s">
        <v>38</v>
      </c>
      <c r="D262" s="51">
        <v>120.27750000000002</v>
      </c>
      <c r="E262" s="51">
        <v>75.27</v>
      </c>
      <c r="F262" s="51">
        <v>93.816000000000003</v>
      </c>
      <c r="G262" s="51">
        <v>0</v>
      </c>
      <c r="H262" s="51">
        <v>76.844999999999999</v>
      </c>
      <c r="I262" s="62">
        <v>47.537399999999998</v>
      </c>
      <c r="J262" s="106">
        <f t="shared" si="74"/>
        <v>413.74590000000006</v>
      </c>
      <c r="K262" s="63">
        <v>64.674000000000007</v>
      </c>
      <c r="L262" s="51">
        <v>50.317500000000003</v>
      </c>
      <c r="M262" s="51">
        <v>16.8</v>
      </c>
      <c r="N262" s="51">
        <v>49.38</v>
      </c>
      <c r="O262" s="51">
        <v>40.98</v>
      </c>
      <c r="P262" s="62">
        <v>72.637500000000003</v>
      </c>
      <c r="Q262" s="106">
        <f t="shared" si="75"/>
        <v>294.78899999999999</v>
      </c>
      <c r="R262" s="93">
        <f t="shared" si="76"/>
        <v>708.53490000000011</v>
      </c>
      <c r="S262" s="84"/>
      <c r="T262" s="47"/>
      <c r="U262" s="19">
        <f t="shared" si="77"/>
        <v>0</v>
      </c>
      <c r="V262" s="19">
        <f t="shared" si="78"/>
        <v>0</v>
      </c>
      <c r="W262" s="19">
        <f t="shared" si="79"/>
        <v>0</v>
      </c>
      <c r="X262" s="19">
        <f t="shared" si="80"/>
        <v>0</v>
      </c>
      <c r="Y262" s="50"/>
    </row>
    <row r="263" spans="1:25" ht="57" customHeight="1" thickBot="1" x14ac:dyDescent="0.3">
      <c r="A263" s="9" t="s">
        <v>350</v>
      </c>
      <c r="B263" s="10" t="s">
        <v>460</v>
      </c>
      <c r="C263" s="11"/>
      <c r="D263" s="13"/>
      <c r="E263" s="13"/>
      <c r="F263" s="13"/>
      <c r="G263" s="13"/>
      <c r="H263" s="13"/>
      <c r="I263" s="13"/>
      <c r="J263" s="87"/>
      <c r="K263" s="13"/>
      <c r="L263" s="13"/>
      <c r="M263" s="13"/>
      <c r="N263" s="13"/>
      <c r="O263" s="13"/>
      <c r="P263" s="13"/>
      <c r="Q263" s="87"/>
      <c r="R263" s="88"/>
      <c r="S263" s="56"/>
      <c r="T263" s="56"/>
      <c r="U263" s="14"/>
      <c r="V263" s="14"/>
      <c r="W263" s="14"/>
      <c r="X263" s="14"/>
      <c r="Y263" s="49"/>
    </row>
    <row r="264" spans="1:25" ht="38.25" outlineLevel="1" x14ac:dyDescent="0.25">
      <c r="A264" s="16" t="s">
        <v>352</v>
      </c>
      <c r="B264" s="52" t="s">
        <v>463</v>
      </c>
      <c r="C264" s="18" t="s">
        <v>102</v>
      </c>
      <c r="D264" s="51">
        <v>880.58</v>
      </c>
      <c r="E264" s="244">
        <v>898.33</v>
      </c>
      <c r="F264" s="245"/>
      <c r="G264" s="244">
        <v>698.73</v>
      </c>
      <c r="H264" s="245"/>
      <c r="I264" s="62">
        <v>383.48</v>
      </c>
      <c r="J264" s="107">
        <f>SUM(D264:I264)</f>
        <v>2861.1200000000003</v>
      </c>
      <c r="K264" s="63">
        <v>674.31</v>
      </c>
      <c r="L264" s="244">
        <v>1114.33</v>
      </c>
      <c r="M264" s="245"/>
      <c r="N264" s="244">
        <v>458.9</v>
      </c>
      <c r="O264" s="245"/>
      <c r="P264" s="62">
        <v>185.35</v>
      </c>
      <c r="Q264" s="107">
        <f>SUM(K264:P264)</f>
        <v>2432.89</v>
      </c>
      <c r="R264" s="94">
        <f>J264+Q264</f>
        <v>5294.01</v>
      </c>
      <c r="S264" s="84"/>
      <c r="T264" s="47"/>
      <c r="U264" s="19"/>
      <c r="V264" s="19"/>
      <c r="W264" s="19"/>
      <c r="X264" s="19"/>
      <c r="Y264" s="50"/>
    </row>
    <row r="265" spans="1:25" outlineLevel="1" x14ac:dyDescent="0.25">
      <c r="A265" s="16" t="s">
        <v>354</v>
      </c>
      <c r="B265" s="52" t="s">
        <v>461</v>
      </c>
      <c r="C265" s="18" t="s">
        <v>102</v>
      </c>
      <c r="D265" s="51">
        <f>D264</f>
        <v>880.58</v>
      </c>
      <c r="E265" s="244">
        <v>898.33</v>
      </c>
      <c r="F265" s="245"/>
      <c r="G265" s="244">
        <v>698.73</v>
      </c>
      <c r="H265" s="245"/>
      <c r="I265" s="62">
        <v>383.48</v>
      </c>
      <c r="J265" s="105">
        <f>SUM(D265:I265)</f>
        <v>2861.1200000000003</v>
      </c>
      <c r="K265" s="63">
        <v>674.31</v>
      </c>
      <c r="L265" s="244">
        <v>1114.33</v>
      </c>
      <c r="M265" s="245"/>
      <c r="N265" s="244">
        <v>458.9</v>
      </c>
      <c r="O265" s="245"/>
      <c r="P265" s="62">
        <v>185.35</v>
      </c>
      <c r="Q265" s="105">
        <f>SUM(K265:P265)</f>
        <v>2432.89</v>
      </c>
      <c r="R265" s="92">
        <f>J265+Q265</f>
        <v>5294.01</v>
      </c>
      <c r="S265" s="84"/>
      <c r="T265" s="47"/>
      <c r="U265" s="19"/>
      <c r="V265" s="19"/>
      <c r="W265" s="19"/>
      <c r="X265" s="19"/>
      <c r="Y265" s="50"/>
    </row>
    <row r="266" spans="1:25" ht="38.25" outlineLevel="1" x14ac:dyDescent="0.25">
      <c r="A266" s="16" t="s">
        <v>464</v>
      </c>
      <c r="B266" s="52" t="s">
        <v>463</v>
      </c>
      <c r="C266" s="18" t="s">
        <v>102</v>
      </c>
      <c r="D266" s="51">
        <f>D265</f>
        <v>880.58</v>
      </c>
      <c r="E266" s="244">
        <v>898.33</v>
      </c>
      <c r="F266" s="245"/>
      <c r="G266" s="244">
        <v>698.73</v>
      </c>
      <c r="H266" s="245"/>
      <c r="I266" s="62">
        <v>383.48</v>
      </c>
      <c r="J266" s="105">
        <f>SUM(D266:I266)</f>
        <v>2861.1200000000003</v>
      </c>
      <c r="K266" s="63">
        <v>674.31</v>
      </c>
      <c r="L266" s="244">
        <v>1114.33</v>
      </c>
      <c r="M266" s="245"/>
      <c r="N266" s="244">
        <v>458.9</v>
      </c>
      <c r="O266" s="245"/>
      <c r="P266" s="62">
        <v>185.35</v>
      </c>
      <c r="Q266" s="105">
        <f>SUM(K266:P266)</f>
        <v>2432.89</v>
      </c>
      <c r="R266" s="92">
        <f>J266+Q266</f>
        <v>5294.01</v>
      </c>
      <c r="S266" s="84"/>
      <c r="T266" s="47"/>
      <c r="U266" s="19"/>
      <c r="V266" s="19"/>
      <c r="W266" s="19"/>
      <c r="X266" s="19"/>
      <c r="Y266" s="50"/>
    </row>
    <row r="267" spans="1:25" ht="15.75" outlineLevel="1" thickBot="1" x14ac:dyDescent="0.3">
      <c r="A267" s="16" t="s">
        <v>465</v>
      </c>
      <c r="B267" s="52" t="s">
        <v>462</v>
      </c>
      <c r="C267" s="18" t="s">
        <v>102</v>
      </c>
      <c r="D267" s="51">
        <f>D266</f>
        <v>880.58</v>
      </c>
      <c r="E267" s="244">
        <v>898.33</v>
      </c>
      <c r="F267" s="245"/>
      <c r="G267" s="244">
        <v>698.73</v>
      </c>
      <c r="H267" s="245"/>
      <c r="I267" s="62">
        <v>383.48</v>
      </c>
      <c r="J267" s="106">
        <f>SUM(D267:I267)</f>
        <v>2861.1200000000003</v>
      </c>
      <c r="K267" s="63">
        <v>674.31</v>
      </c>
      <c r="L267" s="244">
        <v>1114.33</v>
      </c>
      <c r="M267" s="245"/>
      <c r="N267" s="244">
        <v>458.9</v>
      </c>
      <c r="O267" s="245"/>
      <c r="P267" s="62">
        <v>185.35</v>
      </c>
      <c r="Q267" s="106">
        <f>SUM(K267:P267)</f>
        <v>2432.89</v>
      </c>
      <c r="R267" s="93">
        <f>J267+Q267</f>
        <v>5294.01</v>
      </c>
      <c r="S267" s="84"/>
      <c r="T267" s="47"/>
      <c r="U267" s="19"/>
      <c r="V267" s="19"/>
      <c r="W267" s="19"/>
      <c r="X267" s="19"/>
      <c r="Y267" s="50"/>
    </row>
    <row r="268" spans="1:25" ht="26.25" outlineLevel="1" thickBot="1" x14ac:dyDescent="0.3">
      <c r="A268" s="125" t="s">
        <v>655</v>
      </c>
      <c r="B268" s="116" t="s">
        <v>656</v>
      </c>
      <c r="C268" s="126" t="s">
        <v>38</v>
      </c>
      <c r="D268" s="123">
        <v>34.74</v>
      </c>
      <c r="E268" s="249">
        <v>69.48</v>
      </c>
      <c r="F268" s="250"/>
      <c r="G268" s="249">
        <v>69.48</v>
      </c>
      <c r="H268" s="250"/>
      <c r="I268" s="127">
        <v>34.74</v>
      </c>
      <c r="J268" s="128">
        <f>D268+E268+G268+I268</f>
        <v>208.44</v>
      </c>
      <c r="K268" s="129">
        <v>34.74</v>
      </c>
      <c r="L268" s="249">
        <v>69.48</v>
      </c>
      <c r="M268" s="250"/>
      <c r="N268" s="249">
        <v>69.48</v>
      </c>
      <c r="O268" s="250"/>
      <c r="P268" s="127">
        <v>34.74</v>
      </c>
      <c r="Q268" s="128">
        <f>K268+L268+N268+P268</f>
        <v>208.44</v>
      </c>
      <c r="R268" s="128">
        <f>J268+Q268</f>
        <v>416.88</v>
      </c>
      <c r="S268" s="84"/>
      <c r="T268" s="47"/>
      <c r="U268" s="19"/>
      <c r="V268" s="19"/>
      <c r="W268" s="19"/>
      <c r="X268" s="19"/>
      <c r="Y268" s="50"/>
    </row>
    <row r="269" spans="1:25" x14ac:dyDescent="0.25">
      <c r="A269" s="9" t="s">
        <v>356</v>
      </c>
      <c r="B269" s="10" t="s">
        <v>351</v>
      </c>
      <c r="C269" s="11"/>
      <c r="D269" s="12"/>
      <c r="E269" s="12"/>
      <c r="F269" s="12"/>
      <c r="G269" s="12"/>
      <c r="H269" s="12"/>
      <c r="I269" s="12"/>
      <c r="J269" s="120"/>
      <c r="K269" s="12"/>
      <c r="L269" s="12"/>
      <c r="M269" s="12"/>
      <c r="N269" s="12"/>
      <c r="O269" s="12"/>
      <c r="P269" s="12"/>
      <c r="Q269" s="120"/>
      <c r="R269" s="121"/>
      <c r="S269" s="15"/>
      <c r="T269" s="15"/>
      <c r="U269" s="15"/>
      <c r="V269" s="14">
        <f>SUM(V270:V271)</f>
        <v>0</v>
      </c>
      <c r="W269" s="14">
        <f>SUM(W270:W271)</f>
        <v>0</v>
      </c>
      <c r="X269" s="14">
        <f>SUM(X270:X271)</f>
        <v>0</v>
      </c>
      <c r="Y269" s="49"/>
    </row>
    <row r="270" spans="1:25" ht="54" customHeight="1" outlineLevel="1" x14ac:dyDescent="0.25">
      <c r="A270" s="16" t="s">
        <v>358</v>
      </c>
      <c r="B270" s="17" t="s">
        <v>353</v>
      </c>
      <c r="C270" s="18" t="s">
        <v>102</v>
      </c>
      <c r="D270" s="51">
        <v>732.55</v>
      </c>
      <c r="E270" s="51">
        <v>501.23999999999995</v>
      </c>
      <c r="F270" s="51">
        <v>667.49000000000012</v>
      </c>
      <c r="G270" s="51">
        <v>428.1</v>
      </c>
      <c r="H270" s="51">
        <v>467.54999999999995</v>
      </c>
      <c r="I270" s="62">
        <v>320.85000000000002</v>
      </c>
      <c r="J270" s="118">
        <f>SUM(D270:I270)</f>
        <v>3117.78</v>
      </c>
      <c r="K270" s="63">
        <v>581.30000000000018</v>
      </c>
      <c r="L270" s="51">
        <v>349.05</v>
      </c>
      <c r="M270" s="51">
        <v>284.60000000000002</v>
      </c>
      <c r="N270" s="51">
        <v>311.45000000000005</v>
      </c>
      <c r="O270" s="51">
        <v>253.25</v>
      </c>
      <c r="P270" s="62">
        <v>524.20000000000005</v>
      </c>
      <c r="Q270" s="118">
        <f>SUM(K270:P270)</f>
        <v>2303.8500000000004</v>
      </c>
      <c r="R270" s="119">
        <f>J270+Q270</f>
        <v>5421.630000000001</v>
      </c>
      <c r="S270" s="84"/>
      <c r="T270" s="47"/>
      <c r="U270" s="19">
        <f>T270+S270</f>
        <v>0</v>
      </c>
      <c r="V270" s="19">
        <f>R270*S270</f>
        <v>0</v>
      </c>
      <c r="W270" s="19">
        <f>T270*R270</f>
        <v>0</v>
      </c>
      <c r="X270" s="19">
        <f>W270+V270</f>
        <v>0</v>
      </c>
      <c r="Y270" s="50"/>
    </row>
    <row r="271" spans="1:25" ht="54" customHeight="1" outlineLevel="1" thickBot="1" x14ac:dyDescent="0.3">
      <c r="A271" s="16" t="s">
        <v>360</v>
      </c>
      <c r="B271" s="17" t="s">
        <v>355</v>
      </c>
      <c r="C271" s="18" t="s">
        <v>102</v>
      </c>
      <c r="D271" s="51">
        <v>21</v>
      </c>
      <c r="E271" s="51">
        <v>48.3</v>
      </c>
      <c r="F271" s="51">
        <v>104.2</v>
      </c>
      <c r="G271" s="51">
        <v>90.399999999999991</v>
      </c>
      <c r="H271" s="51">
        <v>0</v>
      </c>
      <c r="I271" s="62">
        <v>0</v>
      </c>
      <c r="J271" s="106">
        <f>SUM(D271:I271)</f>
        <v>263.89999999999998</v>
      </c>
      <c r="K271" s="63">
        <v>180.1</v>
      </c>
      <c r="L271" s="51">
        <v>0</v>
      </c>
      <c r="M271" s="51">
        <v>0</v>
      </c>
      <c r="N271" s="51">
        <v>0</v>
      </c>
      <c r="O271" s="51">
        <v>0</v>
      </c>
      <c r="P271" s="62">
        <v>0</v>
      </c>
      <c r="Q271" s="106">
        <f>SUM(K271:P271)</f>
        <v>180.1</v>
      </c>
      <c r="R271" s="93">
        <f>J271+Q271</f>
        <v>444</v>
      </c>
      <c r="S271" s="84"/>
      <c r="T271" s="47"/>
      <c r="U271" s="19">
        <f>T271+S271</f>
        <v>0</v>
      </c>
      <c r="V271" s="19">
        <f>R271*S271</f>
        <v>0</v>
      </c>
      <c r="W271" s="19">
        <f>T271*R271</f>
        <v>0</v>
      </c>
      <c r="X271" s="19">
        <f>W271+V271</f>
        <v>0</v>
      </c>
      <c r="Y271" s="50"/>
    </row>
    <row r="272" spans="1:25" ht="18" customHeight="1" thickBot="1" x14ac:dyDescent="0.3">
      <c r="A272" s="9" t="s">
        <v>362</v>
      </c>
      <c r="B272" s="10" t="s">
        <v>357</v>
      </c>
      <c r="C272" s="11"/>
      <c r="D272" s="12"/>
      <c r="E272" s="12"/>
      <c r="F272" s="12"/>
      <c r="G272" s="12"/>
      <c r="H272" s="12"/>
      <c r="I272" s="12"/>
      <c r="J272" s="101"/>
      <c r="K272" s="12"/>
      <c r="L272" s="12"/>
      <c r="M272" s="12"/>
      <c r="N272" s="12"/>
      <c r="O272" s="12"/>
      <c r="P272" s="12"/>
      <c r="Q272" s="101"/>
      <c r="R272" s="87"/>
      <c r="S272" s="15"/>
      <c r="T272" s="15"/>
      <c r="U272" s="15"/>
      <c r="V272" s="14">
        <f>SUM(V273:V274)</f>
        <v>0</v>
      </c>
      <c r="W272" s="14">
        <f>SUM(W273:W274)</f>
        <v>0</v>
      </c>
      <c r="X272" s="14">
        <f>SUM(X273:X274)</f>
        <v>0</v>
      </c>
      <c r="Y272" s="49"/>
    </row>
    <row r="273" spans="1:25" ht="38.25" outlineLevel="1" x14ac:dyDescent="0.25">
      <c r="A273" s="16" t="s">
        <v>364</v>
      </c>
      <c r="B273" s="17" t="s">
        <v>359</v>
      </c>
      <c r="C273" s="18" t="s">
        <v>21</v>
      </c>
      <c r="D273" s="51">
        <v>15.26</v>
      </c>
      <c r="E273" s="51">
        <v>3.71</v>
      </c>
      <c r="F273" s="51">
        <v>0</v>
      </c>
      <c r="G273" s="51">
        <v>0</v>
      </c>
      <c r="H273" s="51">
        <v>0</v>
      </c>
      <c r="I273" s="62">
        <v>8.91</v>
      </c>
      <c r="J273" s="107">
        <f>SUM(D273:I273)</f>
        <v>27.88</v>
      </c>
      <c r="K273" s="63">
        <v>0</v>
      </c>
      <c r="L273" s="51">
        <v>0</v>
      </c>
      <c r="M273" s="51">
        <v>0</v>
      </c>
      <c r="N273" s="51">
        <v>0</v>
      </c>
      <c r="O273" s="51">
        <v>0</v>
      </c>
      <c r="P273" s="62">
        <v>5.23</v>
      </c>
      <c r="Q273" s="107">
        <f>SUM(K273:P273)</f>
        <v>5.23</v>
      </c>
      <c r="R273" s="94">
        <f>J273+Q273</f>
        <v>33.11</v>
      </c>
      <c r="S273" s="84"/>
      <c r="T273" s="47"/>
      <c r="U273" s="19">
        <f>T273+S273</f>
        <v>0</v>
      </c>
      <c r="V273" s="19">
        <f>R273*S273</f>
        <v>0</v>
      </c>
      <c r="W273" s="19">
        <f>T273*R273</f>
        <v>0</v>
      </c>
      <c r="X273" s="19">
        <f>W273+V273</f>
        <v>0</v>
      </c>
      <c r="Y273" s="50"/>
    </row>
    <row r="274" spans="1:25" ht="39" outlineLevel="1" thickBot="1" x14ac:dyDescent="0.3">
      <c r="A274" s="16" t="s">
        <v>366</v>
      </c>
      <c r="B274" s="17" t="s">
        <v>361</v>
      </c>
      <c r="C274" s="18" t="s">
        <v>21</v>
      </c>
      <c r="D274" s="51">
        <v>194.3</v>
      </c>
      <c r="E274" s="51">
        <v>113.33</v>
      </c>
      <c r="F274" s="51">
        <v>158.32</v>
      </c>
      <c r="G274" s="51">
        <v>0</v>
      </c>
      <c r="H274" s="51">
        <v>119.45</v>
      </c>
      <c r="I274" s="62">
        <v>71.97</v>
      </c>
      <c r="J274" s="106">
        <f>SUM(D274:I274)</f>
        <v>657.37</v>
      </c>
      <c r="K274" s="63">
        <v>91.55</v>
      </c>
      <c r="L274" s="51">
        <v>71.14</v>
      </c>
      <c r="M274" s="51">
        <v>28.07</v>
      </c>
      <c r="N274" s="51">
        <v>85.2</v>
      </c>
      <c r="O274" s="51">
        <v>70.790000000000006</v>
      </c>
      <c r="P274" s="62">
        <v>116.66</v>
      </c>
      <c r="Q274" s="106">
        <f>SUM(K274:P274)</f>
        <v>463.40999999999997</v>
      </c>
      <c r="R274" s="93">
        <f>J274+Q274</f>
        <v>1120.78</v>
      </c>
      <c r="S274" s="84"/>
      <c r="T274" s="47"/>
      <c r="U274" s="19">
        <f>T274+S274</f>
        <v>0</v>
      </c>
      <c r="V274" s="19">
        <f>R274*S274</f>
        <v>0</v>
      </c>
      <c r="W274" s="19">
        <f>T274*R274</f>
        <v>0</v>
      </c>
      <c r="X274" s="19">
        <f>W274+V274</f>
        <v>0</v>
      </c>
      <c r="Y274" s="50"/>
    </row>
    <row r="275" spans="1:25" ht="26.25" customHeight="1" thickBot="1" x14ac:dyDescent="0.3">
      <c r="A275" s="9" t="s">
        <v>370</v>
      </c>
      <c r="B275" s="10" t="s">
        <v>363</v>
      </c>
      <c r="C275" s="11"/>
      <c r="D275" s="12"/>
      <c r="E275" s="12"/>
      <c r="F275" s="12"/>
      <c r="G275" s="12"/>
      <c r="H275" s="12"/>
      <c r="I275" s="12"/>
      <c r="J275" s="101"/>
      <c r="K275" s="12"/>
      <c r="L275" s="12"/>
      <c r="M275" s="12"/>
      <c r="N275" s="12"/>
      <c r="O275" s="12"/>
      <c r="P275" s="12"/>
      <c r="Q275" s="101"/>
      <c r="R275" s="87"/>
      <c r="S275" s="15"/>
      <c r="T275" s="15"/>
      <c r="U275" s="15"/>
      <c r="V275" s="14">
        <f>SUM(V276:V281)</f>
        <v>0</v>
      </c>
      <c r="W275" s="14">
        <f>SUM(W276:W281)</f>
        <v>0</v>
      </c>
      <c r="X275" s="14">
        <f>SUM(X276:X281)</f>
        <v>0</v>
      </c>
      <c r="Y275" s="49"/>
    </row>
    <row r="276" spans="1:25" outlineLevel="1" x14ac:dyDescent="0.25">
      <c r="A276" s="16" t="s">
        <v>372</v>
      </c>
      <c r="B276" s="17" t="s">
        <v>365</v>
      </c>
      <c r="C276" s="18" t="s">
        <v>102</v>
      </c>
      <c r="D276" s="51">
        <v>141.70000000000002</v>
      </c>
      <c r="E276" s="51">
        <v>80.600000000000009</v>
      </c>
      <c r="F276" s="51">
        <v>105.3</v>
      </c>
      <c r="G276" s="51">
        <v>0</v>
      </c>
      <c r="H276" s="51">
        <v>100.10000000000001</v>
      </c>
      <c r="I276" s="62">
        <v>61.1</v>
      </c>
      <c r="J276" s="107">
        <f t="shared" ref="J276:J281" si="81">SUM(D276:I276)</f>
        <v>488.80000000000007</v>
      </c>
      <c r="K276" s="63">
        <v>81.900000000000006</v>
      </c>
      <c r="L276" s="51">
        <v>52</v>
      </c>
      <c r="M276" s="51">
        <v>20.8</v>
      </c>
      <c r="N276" s="51">
        <v>61.1</v>
      </c>
      <c r="O276" s="51">
        <v>50.7</v>
      </c>
      <c r="P276" s="62">
        <v>93.600000000000009</v>
      </c>
      <c r="Q276" s="107">
        <f t="shared" ref="Q276:Q281" si="82">SUM(K276:P276)</f>
        <v>360.1</v>
      </c>
      <c r="R276" s="94">
        <f t="shared" ref="R276:R281" si="83">J276+Q276</f>
        <v>848.90000000000009</v>
      </c>
      <c r="S276" s="84"/>
      <c r="T276" s="47"/>
      <c r="U276" s="19">
        <f t="shared" ref="U276:U281" si="84">T276+S276</f>
        <v>0</v>
      </c>
      <c r="V276" s="19">
        <f t="shared" ref="V276:V281" si="85">R276*S276</f>
        <v>0</v>
      </c>
      <c r="W276" s="19">
        <f t="shared" ref="W276:W281" si="86">T276*R276</f>
        <v>0</v>
      </c>
      <c r="X276" s="19">
        <f t="shared" ref="X276:X281" si="87">W276+V276</f>
        <v>0</v>
      </c>
      <c r="Y276" s="50"/>
    </row>
    <row r="277" spans="1:25" outlineLevel="1" x14ac:dyDescent="0.25">
      <c r="A277" s="16" t="s">
        <v>374</v>
      </c>
      <c r="B277" s="17" t="s">
        <v>367</v>
      </c>
      <c r="C277" s="18" t="s">
        <v>21</v>
      </c>
      <c r="D277" s="65">
        <v>0.20846250000000002</v>
      </c>
      <c r="E277" s="65">
        <v>0.11857500000000001</v>
      </c>
      <c r="F277" s="65">
        <v>0.15491250000000001</v>
      </c>
      <c r="G277" s="65">
        <v>0</v>
      </c>
      <c r="H277" s="65">
        <v>0.14726250000000002</v>
      </c>
      <c r="I277" s="99">
        <v>8.9887500000000009E-2</v>
      </c>
      <c r="J277" s="105">
        <f t="shared" si="81"/>
        <v>0.71910000000000007</v>
      </c>
      <c r="K277" s="114">
        <v>0.12048750000000001</v>
      </c>
      <c r="L277" s="65">
        <v>7.6500000000000012E-2</v>
      </c>
      <c r="M277" s="65">
        <v>3.0600000000000002E-2</v>
      </c>
      <c r="N277" s="65">
        <v>8.9887500000000009E-2</v>
      </c>
      <c r="O277" s="65">
        <v>7.4587500000000001E-2</v>
      </c>
      <c r="P277" s="99">
        <v>0.13770000000000002</v>
      </c>
      <c r="Q277" s="105">
        <f t="shared" si="82"/>
        <v>0.52976250000000014</v>
      </c>
      <c r="R277" s="92">
        <f t="shared" si="83"/>
        <v>1.2488625000000002</v>
      </c>
      <c r="S277" s="84"/>
      <c r="T277" s="47"/>
      <c r="U277" s="19">
        <f t="shared" si="84"/>
        <v>0</v>
      </c>
      <c r="V277" s="19">
        <f t="shared" si="85"/>
        <v>0</v>
      </c>
      <c r="W277" s="19">
        <f t="shared" si="86"/>
        <v>0</v>
      </c>
      <c r="X277" s="19">
        <f t="shared" si="87"/>
        <v>0</v>
      </c>
      <c r="Y277" s="50"/>
    </row>
    <row r="278" spans="1:25" ht="56.25" customHeight="1" outlineLevel="1" x14ac:dyDescent="0.25">
      <c r="A278" s="16" t="s">
        <v>376</v>
      </c>
      <c r="B278" s="58" t="s">
        <v>361</v>
      </c>
      <c r="C278" s="18" t="s">
        <v>21</v>
      </c>
      <c r="D278" s="51">
        <v>2.9539140000000002</v>
      </c>
      <c r="E278" s="51">
        <v>0.95571450000000002</v>
      </c>
      <c r="F278" s="51">
        <v>1.6312286250000001</v>
      </c>
      <c r="G278" s="51">
        <v>0</v>
      </c>
      <c r="H278" s="51">
        <v>1.474097625</v>
      </c>
      <c r="I278" s="62">
        <v>0.54921262500000001</v>
      </c>
      <c r="J278" s="105">
        <f t="shared" si="81"/>
        <v>7.5641673750000002</v>
      </c>
      <c r="K278" s="63">
        <v>0.98679262499999998</v>
      </c>
      <c r="L278" s="51">
        <v>0.39779999999999999</v>
      </c>
      <c r="M278" s="51">
        <v>6.3647999999999996E-2</v>
      </c>
      <c r="N278" s="51">
        <v>0.54921262500000001</v>
      </c>
      <c r="O278" s="51">
        <v>0.37815862500000003</v>
      </c>
      <c r="P278" s="62">
        <v>1.288872</v>
      </c>
      <c r="Q278" s="105">
        <f t="shared" si="82"/>
        <v>3.6644838750000002</v>
      </c>
      <c r="R278" s="92">
        <f t="shared" si="83"/>
        <v>11.22865125</v>
      </c>
      <c r="S278" s="84"/>
      <c r="T278" s="47"/>
      <c r="U278" s="19">
        <f t="shared" si="84"/>
        <v>0</v>
      </c>
      <c r="V278" s="19">
        <f t="shared" si="85"/>
        <v>0</v>
      </c>
      <c r="W278" s="19">
        <f t="shared" si="86"/>
        <v>0</v>
      </c>
      <c r="X278" s="19">
        <f t="shared" si="87"/>
        <v>0</v>
      </c>
      <c r="Y278" s="50"/>
    </row>
    <row r="279" spans="1:25" ht="78" customHeight="1" outlineLevel="1" x14ac:dyDescent="0.25">
      <c r="A279" s="16" t="s">
        <v>378</v>
      </c>
      <c r="B279" s="17" t="s">
        <v>86</v>
      </c>
      <c r="C279" s="18" t="s">
        <v>38</v>
      </c>
      <c r="D279" s="51">
        <v>29.539136250000006</v>
      </c>
      <c r="E279" s="51">
        <v>9.557145000000002</v>
      </c>
      <c r="F279" s="51">
        <v>16.31228625</v>
      </c>
      <c r="G279" s="51">
        <v>0</v>
      </c>
      <c r="H279" s="51">
        <v>14.740976250000003</v>
      </c>
      <c r="I279" s="62">
        <v>5.492126250000001</v>
      </c>
      <c r="J279" s="105">
        <f t="shared" si="81"/>
        <v>75.641670000000005</v>
      </c>
      <c r="K279" s="63">
        <v>9.8679262500000018</v>
      </c>
      <c r="L279" s="51">
        <v>3.9780000000000006</v>
      </c>
      <c r="M279" s="51">
        <v>0.63648000000000005</v>
      </c>
      <c r="N279" s="51">
        <v>5.492126250000001</v>
      </c>
      <c r="O279" s="51">
        <v>3.7815862500000001</v>
      </c>
      <c r="P279" s="62">
        <v>12.888720000000003</v>
      </c>
      <c r="Q279" s="105">
        <f t="shared" si="82"/>
        <v>36.644838750000005</v>
      </c>
      <c r="R279" s="92">
        <f t="shared" si="83"/>
        <v>112.28650875000001</v>
      </c>
      <c r="S279" s="84"/>
      <c r="T279" s="47"/>
      <c r="U279" s="19">
        <f t="shared" si="84"/>
        <v>0</v>
      </c>
      <c r="V279" s="19">
        <f t="shared" si="85"/>
        <v>0</v>
      </c>
      <c r="W279" s="19">
        <f t="shared" si="86"/>
        <v>0</v>
      </c>
      <c r="X279" s="19">
        <f t="shared" si="87"/>
        <v>0</v>
      </c>
      <c r="Y279" s="50"/>
    </row>
    <row r="280" spans="1:25" ht="38.25" outlineLevel="1" x14ac:dyDescent="0.25">
      <c r="A280" s="16" t="s">
        <v>380</v>
      </c>
      <c r="B280" s="17" t="s">
        <v>368</v>
      </c>
      <c r="C280" s="18" t="s">
        <v>38</v>
      </c>
      <c r="D280" s="51">
        <v>29.539136250000006</v>
      </c>
      <c r="E280" s="51">
        <v>9.56</v>
      </c>
      <c r="F280" s="51">
        <v>16.309999999999999</v>
      </c>
      <c r="G280" s="51">
        <v>0</v>
      </c>
      <c r="H280" s="51">
        <v>14.74</v>
      </c>
      <c r="I280" s="62">
        <v>5.49</v>
      </c>
      <c r="J280" s="105">
        <f t="shared" si="81"/>
        <v>75.639136249999993</v>
      </c>
      <c r="K280" s="63">
        <v>9.8699999999999992</v>
      </c>
      <c r="L280" s="51">
        <v>3.98</v>
      </c>
      <c r="M280" s="51">
        <v>0.64</v>
      </c>
      <c r="N280" s="51">
        <v>5.49</v>
      </c>
      <c r="O280" s="51">
        <v>3.78</v>
      </c>
      <c r="P280" s="62">
        <v>12.89</v>
      </c>
      <c r="Q280" s="105">
        <f t="shared" si="82"/>
        <v>36.650000000000006</v>
      </c>
      <c r="R280" s="92">
        <f t="shared" si="83"/>
        <v>112.28913625</v>
      </c>
      <c r="S280" s="84"/>
      <c r="T280" s="47"/>
      <c r="U280" s="19">
        <f t="shared" si="84"/>
        <v>0</v>
      </c>
      <c r="V280" s="19">
        <f t="shared" si="85"/>
        <v>0</v>
      </c>
      <c r="W280" s="19">
        <f t="shared" si="86"/>
        <v>0</v>
      </c>
      <c r="X280" s="19">
        <f t="shared" si="87"/>
        <v>0</v>
      </c>
      <c r="Y280" s="50"/>
    </row>
    <row r="281" spans="1:25" ht="45.75" customHeight="1" outlineLevel="1" thickBot="1" x14ac:dyDescent="0.3">
      <c r="A281" s="16" t="s">
        <v>466</v>
      </c>
      <c r="B281" s="17" t="s">
        <v>369</v>
      </c>
      <c r="C281" s="18" t="s">
        <v>38</v>
      </c>
      <c r="D281" s="51">
        <v>29.54</v>
      </c>
      <c r="E281" s="51">
        <v>9.56</v>
      </c>
      <c r="F281" s="51">
        <v>16.309999999999999</v>
      </c>
      <c r="G281" s="51">
        <v>0</v>
      </c>
      <c r="H281" s="51">
        <v>14.74</v>
      </c>
      <c r="I281" s="62">
        <v>5.49</v>
      </c>
      <c r="J281" s="106">
        <f t="shared" si="81"/>
        <v>75.639999999999986</v>
      </c>
      <c r="K281" s="63">
        <v>9.8699999999999992</v>
      </c>
      <c r="L281" s="51">
        <v>3.98</v>
      </c>
      <c r="M281" s="51">
        <v>0.64</v>
      </c>
      <c r="N281" s="51">
        <v>5.49</v>
      </c>
      <c r="O281" s="51">
        <v>3.78</v>
      </c>
      <c r="P281" s="62">
        <v>12.89</v>
      </c>
      <c r="Q281" s="106">
        <f t="shared" si="82"/>
        <v>36.650000000000006</v>
      </c>
      <c r="R281" s="93">
        <f t="shared" si="83"/>
        <v>112.28999999999999</v>
      </c>
      <c r="S281" s="84"/>
      <c r="T281" s="47"/>
      <c r="U281" s="19">
        <f t="shared" si="84"/>
        <v>0</v>
      </c>
      <c r="V281" s="19">
        <f t="shared" si="85"/>
        <v>0</v>
      </c>
      <c r="W281" s="19">
        <f t="shared" si="86"/>
        <v>0</v>
      </c>
      <c r="X281" s="19">
        <f t="shared" si="87"/>
        <v>0</v>
      </c>
      <c r="Y281" s="50"/>
    </row>
    <row r="282" spans="1:25" ht="29.25" customHeight="1" thickBot="1" x14ac:dyDescent="0.3">
      <c r="A282" s="9" t="s">
        <v>382</v>
      </c>
      <c r="B282" s="10" t="s">
        <v>371</v>
      </c>
      <c r="C282" s="11"/>
      <c r="D282" s="12"/>
      <c r="E282" s="12"/>
      <c r="F282" s="12"/>
      <c r="G282" s="12"/>
      <c r="H282" s="12"/>
      <c r="I282" s="12"/>
      <c r="J282" s="101"/>
      <c r="K282" s="12"/>
      <c r="L282" s="12"/>
      <c r="M282" s="12"/>
      <c r="N282" s="12"/>
      <c r="O282" s="12"/>
      <c r="P282" s="12"/>
      <c r="Q282" s="101"/>
      <c r="R282" s="87"/>
      <c r="S282" s="15"/>
      <c r="T282" s="15"/>
      <c r="U282" s="15"/>
      <c r="V282" s="14">
        <f>SUM(V283:V287)</f>
        <v>0</v>
      </c>
      <c r="W282" s="14">
        <f>SUM(W283:W287)</f>
        <v>0</v>
      </c>
      <c r="X282" s="14">
        <f>SUM(X283:X287)</f>
        <v>0</v>
      </c>
      <c r="Y282" s="49"/>
    </row>
    <row r="283" spans="1:25" ht="25.5" outlineLevel="1" x14ac:dyDescent="0.25">
      <c r="A283" s="16" t="s">
        <v>384</v>
      </c>
      <c r="B283" s="17" t="s">
        <v>373</v>
      </c>
      <c r="C283" s="18" t="s">
        <v>98</v>
      </c>
      <c r="D283" s="51">
        <v>0</v>
      </c>
      <c r="E283" s="51">
        <v>3</v>
      </c>
      <c r="F283" s="51">
        <v>0</v>
      </c>
      <c r="G283" s="51">
        <v>0</v>
      </c>
      <c r="H283" s="51">
        <v>0</v>
      </c>
      <c r="I283" s="62">
        <v>0</v>
      </c>
      <c r="J283" s="107">
        <f>SUM(D283:I283)</f>
        <v>3</v>
      </c>
      <c r="K283" s="63">
        <v>0</v>
      </c>
      <c r="L283" s="51">
        <v>0</v>
      </c>
      <c r="M283" s="51">
        <v>0</v>
      </c>
      <c r="N283" s="51">
        <v>0</v>
      </c>
      <c r="O283" s="51">
        <v>0</v>
      </c>
      <c r="P283" s="62">
        <v>0</v>
      </c>
      <c r="Q283" s="107">
        <f>SUM(K283:P283)</f>
        <v>0</v>
      </c>
      <c r="R283" s="94">
        <f>J283+Q283</f>
        <v>3</v>
      </c>
      <c r="S283" s="84"/>
      <c r="T283" s="47"/>
      <c r="U283" s="19">
        <f>T283+S283</f>
        <v>0</v>
      </c>
      <c r="V283" s="19">
        <f>R283*S283</f>
        <v>0</v>
      </c>
      <c r="W283" s="19">
        <f>T283*R283</f>
        <v>0</v>
      </c>
      <c r="X283" s="19">
        <f>W283+V283</f>
        <v>0</v>
      </c>
      <c r="Y283" s="50"/>
    </row>
    <row r="284" spans="1:25" ht="51" outlineLevel="1" x14ac:dyDescent="0.25">
      <c r="A284" s="16" t="s">
        <v>467</v>
      </c>
      <c r="B284" s="17" t="s">
        <v>375</v>
      </c>
      <c r="C284" s="18" t="s">
        <v>98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62">
        <v>0</v>
      </c>
      <c r="J284" s="105">
        <f>SUM(D284:I284)</f>
        <v>0</v>
      </c>
      <c r="K284" s="63">
        <v>0</v>
      </c>
      <c r="L284" s="51">
        <v>0</v>
      </c>
      <c r="M284" s="51">
        <v>0</v>
      </c>
      <c r="N284" s="51">
        <v>0</v>
      </c>
      <c r="O284" s="51">
        <v>1</v>
      </c>
      <c r="P284" s="62">
        <v>0</v>
      </c>
      <c r="Q284" s="105">
        <f>SUM(K284:P284)</f>
        <v>1</v>
      </c>
      <c r="R284" s="92">
        <f>J284+Q284</f>
        <v>1</v>
      </c>
      <c r="S284" s="84"/>
      <c r="T284" s="47"/>
      <c r="U284" s="19">
        <f>T284+S284</f>
        <v>0</v>
      </c>
      <c r="V284" s="19">
        <f>R284*S284</f>
        <v>0</v>
      </c>
      <c r="W284" s="19">
        <f>T284*R284</f>
        <v>0</v>
      </c>
      <c r="X284" s="19">
        <f>W284+V284</f>
        <v>0</v>
      </c>
      <c r="Y284" s="50"/>
    </row>
    <row r="285" spans="1:25" ht="51" outlineLevel="1" x14ac:dyDescent="0.25">
      <c r="A285" s="16" t="s">
        <v>468</v>
      </c>
      <c r="B285" s="17" t="s">
        <v>377</v>
      </c>
      <c r="C285" s="18" t="s">
        <v>98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62">
        <v>0</v>
      </c>
      <c r="J285" s="105">
        <f>SUM(D285:I285)</f>
        <v>0</v>
      </c>
      <c r="K285" s="63">
        <v>0</v>
      </c>
      <c r="L285" s="51">
        <v>0</v>
      </c>
      <c r="M285" s="51">
        <v>0</v>
      </c>
      <c r="N285" s="51">
        <v>1</v>
      </c>
      <c r="O285" s="51">
        <v>1</v>
      </c>
      <c r="P285" s="62">
        <v>0</v>
      </c>
      <c r="Q285" s="105">
        <f>SUM(K285:P285)</f>
        <v>2</v>
      </c>
      <c r="R285" s="92">
        <f>J285+Q285</f>
        <v>2</v>
      </c>
      <c r="S285" s="84"/>
      <c r="T285" s="47"/>
      <c r="U285" s="19">
        <f>T285+S285</f>
        <v>0</v>
      </c>
      <c r="V285" s="19">
        <f>R285*S285</f>
        <v>0</v>
      </c>
      <c r="W285" s="19">
        <f>T285*R285</f>
        <v>0</v>
      </c>
      <c r="X285" s="19">
        <f>W285+V285</f>
        <v>0</v>
      </c>
      <c r="Y285" s="50"/>
    </row>
    <row r="286" spans="1:25" ht="51" outlineLevel="1" x14ac:dyDescent="0.25">
      <c r="A286" s="16" t="s">
        <v>469</v>
      </c>
      <c r="B286" s="17" t="s">
        <v>379</v>
      </c>
      <c r="C286" s="18" t="s">
        <v>98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62">
        <v>0</v>
      </c>
      <c r="J286" s="105">
        <f>SUM(D286:I286)</f>
        <v>0</v>
      </c>
      <c r="K286" s="63">
        <v>0</v>
      </c>
      <c r="L286" s="51">
        <v>0</v>
      </c>
      <c r="M286" s="51">
        <v>0</v>
      </c>
      <c r="N286" s="51">
        <v>1</v>
      </c>
      <c r="O286" s="51">
        <v>0</v>
      </c>
      <c r="P286" s="62">
        <v>0</v>
      </c>
      <c r="Q286" s="105">
        <f>SUM(K286:P286)</f>
        <v>1</v>
      </c>
      <c r="R286" s="92">
        <f>J286+Q286</f>
        <v>1</v>
      </c>
      <c r="S286" s="84"/>
      <c r="T286" s="47"/>
      <c r="U286" s="19">
        <f>T286+S286</f>
        <v>0</v>
      </c>
      <c r="V286" s="19">
        <f>R286*S286</f>
        <v>0</v>
      </c>
      <c r="W286" s="19">
        <f>T286*R286</f>
        <v>0</v>
      </c>
      <c r="X286" s="19">
        <f>W286+V286</f>
        <v>0</v>
      </c>
      <c r="Y286" s="50"/>
    </row>
    <row r="287" spans="1:25" ht="51.75" outlineLevel="1" thickBot="1" x14ac:dyDescent="0.3">
      <c r="A287" s="16" t="s">
        <v>470</v>
      </c>
      <c r="B287" s="17" t="s">
        <v>381</v>
      </c>
      <c r="C287" s="18" t="s">
        <v>98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62">
        <v>0</v>
      </c>
      <c r="J287" s="106">
        <f>SUM(D287:I287)</f>
        <v>0</v>
      </c>
      <c r="K287" s="63">
        <v>0</v>
      </c>
      <c r="L287" s="51">
        <v>0</v>
      </c>
      <c r="M287" s="51">
        <v>0</v>
      </c>
      <c r="N287" s="51">
        <v>1</v>
      </c>
      <c r="O287" s="51">
        <v>0</v>
      </c>
      <c r="P287" s="62">
        <v>0</v>
      </c>
      <c r="Q287" s="106">
        <f>SUM(K287:P287)</f>
        <v>1</v>
      </c>
      <c r="R287" s="93">
        <f>J287+Q287</f>
        <v>1</v>
      </c>
      <c r="S287" s="84"/>
      <c r="T287" s="47"/>
      <c r="U287" s="19">
        <f>T287+S287</f>
        <v>0</v>
      </c>
      <c r="V287" s="19">
        <f>R287*S287</f>
        <v>0</v>
      </c>
      <c r="W287" s="19">
        <f>T287*R287</f>
        <v>0</v>
      </c>
      <c r="X287" s="19">
        <f>W287+V287</f>
        <v>0</v>
      </c>
      <c r="Y287" s="50"/>
    </row>
    <row r="288" spans="1:25" ht="17.25" customHeight="1" thickBot="1" x14ac:dyDescent="0.3">
      <c r="A288" s="9" t="s">
        <v>386</v>
      </c>
      <c r="B288" s="10" t="s">
        <v>383</v>
      </c>
      <c r="C288" s="11"/>
      <c r="D288" s="13"/>
      <c r="E288" s="13"/>
      <c r="F288" s="13"/>
      <c r="G288" s="13"/>
      <c r="H288" s="13"/>
      <c r="I288" s="13"/>
      <c r="J288" s="87"/>
      <c r="K288" s="13"/>
      <c r="L288" s="13"/>
      <c r="M288" s="13"/>
      <c r="N288" s="13"/>
      <c r="O288" s="13"/>
      <c r="P288" s="13"/>
      <c r="Q288" s="87"/>
      <c r="R288" s="88"/>
      <c r="S288" s="15"/>
      <c r="T288" s="15"/>
      <c r="U288" s="15"/>
      <c r="V288" s="14">
        <f>V289</f>
        <v>0</v>
      </c>
      <c r="W288" s="14">
        <f>W289</f>
        <v>0</v>
      </c>
      <c r="X288" s="14">
        <f>X289</f>
        <v>0</v>
      </c>
      <c r="Y288" s="49"/>
    </row>
    <row r="289" spans="1:25" ht="39" outlineLevel="1" thickBot="1" x14ac:dyDescent="0.3">
      <c r="A289" s="16" t="s">
        <v>388</v>
      </c>
      <c r="B289" s="20" t="s">
        <v>385</v>
      </c>
      <c r="C289" s="21" t="s">
        <v>98</v>
      </c>
      <c r="D289" s="51">
        <v>1</v>
      </c>
      <c r="E289" s="51">
        <v>1</v>
      </c>
      <c r="F289" s="51">
        <v>1</v>
      </c>
      <c r="G289" s="51">
        <v>1</v>
      </c>
      <c r="H289" s="51">
        <v>1</v>
      </c>
      <c r="I289" s="62">
        <v>1</v>
      </c>
      <c r="J289" s="108">
        <f>SUM(D289:I289)</f>
        <v>6</v>
      </c>
      <c r="K289" s="63">
        <v>1</v>
      </c>
      <c r="L289" s="51">
        <v>1</v>
      </c>
      <c r="M289" s="51">
        <v>1</v>
      </c>
      <c r="N289" s="51">
        <v>1</v>
      </c>
      <c r="O289" s="51">
        <v>1</v>
      </c>
      <c r="P289" s="62">
        <v>1</v>
      </c>
      <c r="Q289" s="108">
        <f>SUM(K289:P289)</f>
        <v>6</v>
      </c>
      <c r="R289" s="95">
        <f>J289+Q289</f>
        <v>12</v>
      </c>
      <c r="S289" s="84"/>
      <c r="T289" s="47"/>
      <c r="U289" s="19">
        <f>T289+S289</f>
        <v>0</v>
      </c>
      <c r="V289" s="19">
        <f>R289*S289</f>
        <v>0</v>
      </c>
      <c r="W289" s="19">
        <f>T289*R289</f>
        <v>0</v>
      </c>
      <c r="X289" s="19">
        <f>W289+V289</f>
        <v>0</v>
      </c>
      <c r="Y289" s="50"/>
    </row>
    <row r="290" spans="1:25" ht="13.5" customHeight="1" thickBot="1" x14ac:dyDescent="0.3">
      <c r="A290" s="9" t="s">
        <v>455</v>
      </c>
      <c r="B290" s="10" t="s">
        <v>387</v>
      </c>
      <c r="C290" s="11"/>
      <c r="D290" s="13"/>
      <c r="E290" s="13"/>
      <c r="F290" s="13"/>
      <c r="G290" s="13"/>
      <c r="H290" s="13"/>
      <c r="I290" s="13"/>
      <c r="J290" s="87"/>
      <c r="K290" s="13"/>
      <c r="L290" s="13"/>
      <c r="M290" s="13"/>
      <c r="N290" s="13"/>
      <c r="O290" s="13"/>
      <c r="P290" s="13"/>
      <c r="Q290" s="87"/>
      <c r="R290" s="88"/>
      <c r="S290" s="15"/>
      <c r="T290" s="15"/>
      <c r="U290" s="15"/>
      <c r="V290" s="14">
        <f>V291</f>
        <v>0</v>
      </c>
      <c r="W290" s="14">
        <f>W291</f>
        <v>0</v>
      </c>
      <c r="X290" s="14">
        <f>X291</f>
        <v>0</v>
      </c>
      <c r="Y290" s="49"/>
    </row>
    <row r="291" spans="1:25" ht="15.75" outlineLevel="1" thickBot="1" x14ac:dyDescent="0.3">
      <c r="A291" s="16" t="s">
        <v>456</v>
      </c>
      <c r="B291" s="20" t="s">
        <v>387</v>
      </c>
      <c r="C291" s="21" t="s">
        <v>98</v>
      </c>
      <c r="D291" s="51">
        <v>0</v>
      </c>
      <c r="E291" s="51">
        <v>1</v>
      </c>
      <c r="F291" s="51"/>
      <c r="G291" s="51">
        <v>0</v>
      </c>
      <c r="H291" s="51"/>
      <c r="I291" s="62">
        <v>0</v>
      </c>
      <c r="J291" s="108">
        <f>SUM(D291:I291)</f>
        <v>1</v>
      </c>
      <c r="K291" s="63">
        <v>0</v>
      </c>
      <c r="L291" s="51">
        <v>0</v>
      </c>
      <c r="M291" s="51"/>
      <c r="N291" s="51">
        <v>0</v>
      </c>
      <c r="O291" s="51"/>
      <c r="P291" s="62">
        <v>0</v>
      </c>
      <c r="Q291" s="108">
        <f>SUM(K291:P291)</f>
        <v>0</v>
      </c>
      <c r="R291" s="95">
        <f>J291+Q291</f>
        <v>1</v>
      </c>
      <c r="S291" s="84"/>
      <c r="T291" s="47"/>
      <c r="U291" s="19">
        <f>T291+S291</f>
        <v>0</v>
      </c>
      <c r="V291" s="19">
        <f>R291*S291</f>
        <v>0</v>
      </c>
      <c r="W291" s="19">
        <f>T291*R291</f>
        <v>0</v>
      </c>
      <c r="X291" s="19">
        <f>W291+V291</f>
        <v>0</v>
      </c>
      <c r="Y291" s="50"/>
    </row>
    <row r="292" spans="1:25" ht="18" customHeight="1" thickBot="1" x14ac:dyDescent="0.3">
      <c r="A292" s="9" t="s">
        <v>471</v>
      </c>
      <c r="B292" s="54" t="s">
        <v>451</v>
      </c>
      <c r="C292" s="55"/>
      <c r="D292" s="57"/>
      <c r="E292" s="57"/>
      <c r="F292" s="57"/>
      <c r="G292" s="57"/>
      <c r="H292" s="57"/>
      <c r="I292" s="57"/>
      <c r="J292" s="87"/>
      <c r="K292" s="57"/>
      <c r="L292" s="57"/>
      <c r="M292" s="57"/>
      <c r="N292" s="57"/>
      <c r="O292" s="57"/>
      <c r="P292" s="57"/>
      <c r="Q292" s="87"/>
      <c r="R292" s="88"/>
      <c r="S292" s="56"/>
      <c r="T292" s="56"/>
      <c r="U292" s="14"/>
      <c r="V292" s="14"/>
      <c r="W292" s="14"/>
      <c r="X292" s="14"/>
      <c r="Y292" s="49"/>
    </row>
    <row r="293" spans="1:25" ht="66" customHeight="1" outlineLevel="1" x14ac:dyDescent="0.25">
      <c r="A293" s="16" t="s">
        <v>472</v>
      </c>
      <c r="B293" s="116" t="s">
        <v>658</v>
      </c>
      <c r="C293" s="122" t="s">
        <v>657</v>
      </c>
      <c r="D293" s="123">
        <v>4.8099999999999996</v>
      </c>
      <c r="E293" s="243">
        <v>9.6199999999999992</v>
      </c>
      <c r="F293" s="243"/>
      <c r="G293" s="243">
        <v>9.6199999999999992</v>
      </c>
      <c r="H293" s="243"/>
      <c r="I293" s="123">
        <v>4.8099999999999996</v>
      </c>
      <c r="J293" s="124">
        <f t="shared" ref="J293:J298" si="88">SUM(D293:I293)</f>
        <v>28.859999999999996</v>
      </c>
      <c r="K293" s="123">
        <v>4.8099999999999996</v>
      </c>
      <c r="L293" s="243">
        <v>9.6199999999999992</v>
      </c>
      <c r="M293" s="243"/>
      <c r="N293" s="243">
        <v>9.6199999999999992</v>
      </c>
      <c r="O293" s="243"/>
      <c r="P293" s="123">
        <v>4.8099999999999996</v>
      </c>
      <c r="Q293" s="124">
        <f t="shared" ref="Q293:Q298" si="89">SUM(K293:P293)</f>
        <v>28.859999999999996</v>
      </c>
      <c r="R293" s="124">
        <f t="shared" ref="R293:R298" si="90">J293+Q293</f>
        <v>57.719999999999992</v>
      </c>
      <c r="S293" s="84"/>
      <c r="T293" s="47"/>
      <c r="U293" s="19">
        <f t="shared" ref="U293:U298" si="91">T293+S293</f>
        <v>0</v>
      </c>
      <c r="V293" s="19">
        <f t="shared" ref="V293:V298" si="92">R293*S293</f>
        <v>0</v>
      </c>
      <c r="W293" s="19">
        <f t="shared" ref="W293:W298" si="93">T293*R293</f>
        <v>0</v>
      </c>
      <c r="X293" s="19">
        <f t="shared" ref="X293:X298" si="94">W293+V293</f>
        <v>0</v>
      </c>
      <c r="Y293" s="50"/>
    </row>
    <row r="294" spans="1:25" ht="48.75" customHeight="1" outlineLevel="1" x14ac:dyDescent="0.25">
      <c r="A294" s="16" t="s">
        <v>473</v>
      </c>
      <c r="B294" s="52" t="s">
        <v>452</v>
      </c>
      <c r="C294" s="53" t="s">
        <v>38</v>
      </c>
      <c r="D294" s="66">
        <f t="shared" ref="D294:P294" si="95">D43+D48</f>
        <v>4289.08</v>
      </c>
      <c r="E294" s="66">
        <f t="shared" si="95"/>
        <v>2652.45</v>
      </c>
      <c r="F294" s="66">
        <f t="shared" si="95"/>
        <v>3901.19</v>
      </c>
      <c r="G294" s="66">
        <f t="shared" si="95"/>
        <v>3079.55</v>
      </c>
      <c r="H294" s="66">
        <f t="shared" si="95"/>
        <v>2842.4399999999991</v>
      </c>
      <c r="I294" s="100">
        <f t="shared" si="95"/>
        <v>2059.7600000000002</v>
      </c>
      <c r="J294" s="105">
        <f t="shared" si="88"/>
        <v>18824.47</v>
      </c>
      <c r="K294" s="115">
        <f t="shared" si="95"/>
        <v>3591.0899999999997</v>
      </c>
      <c r="L294" s="66">
        <f t="shared" si="95"/>
        <v>2305.3300000000004</v>
      </c>
      <c r="M294" s="66">
        <f t="shared" si="95"/>
        <v>2071.56</v>
      </c>
      <c r="N294" s="66">
        <f t="shared" si="95"/>
        <v>2097.2999999999997</v>
      </c>
      <c r="O294" s="66">
        <f t="shared" si="95"/>
        <v>1693.5300000000002</v>
      </c>
      <c r="P294" s="100">
        <f t="shared" si="95"/>
        <v>4196.6599999999989</v>
      </c>
      <c r="Q294" s="105">
        <f t="shared" si="89"/>
        <v>15955.469999999998</v>
      </c>
      <c r="R294" s="92">
        <f t="shared" si="90"/>
        <v>34779.94</v>
      </c>
      <c r="S294" s="84"/>
      <c r="T294" s="47"/>
      <c r="U294" s="19">
        <f t="shared" si="91"/>
        <v>0</v>
      </c>
      <c r="V294" s="19">
        <f t="shared" si="92"/>
        <v>0</v>
      </c>
      <c r="W294" s="19">
        <f t="shared" si="93"/>
        <v>0</v>
      </c>
      <c r="X294" s="19">
        <f t="shared" si="94"/>
        <v>0</v>
      </c>
      <c r="Y294" s="50"/>
    </row>
    <row r="295" spans="1:25" ht="48.75" customHeight="1" outlineLevel="1" x14ac:dyDescent="0.25">
      <c r="A295" s="16" t="s">
        <v>474</v>
      </c>
      <c r="B295" s="116" t="s">
        <v>654</v>
      </c>
      <c r="C295" s="53" t="s">
        <v>38</v>
      </c>
      <c r="D295" s="51">
        <f>D294</f>
        <v>4289.08</v>
      </c>
      <c r="E295" s="51">
        <f t="shared" ref="E295:P295" si="96">E294</f>
        <v>2652.45</v>
      </c>
      <c r="F295" s="51">
        <f t="shared" si="96"/>
        <v>3901.19</v>
      </c>
      <c r="G295" s="51">
        <f t="shared" si="96"/>
        <v>3079.55</v>
      </c>
      <c r="H295" s="51">
        <f t="shared" si="96"/>
        <v>2842.4399999999991</v>
      </c>
      <c r="I295" s="62">
        <f t="shared" si="96"/>
        <v>2059.7600000000002</v>
      </c>
      <c r="J295" s="105">
        <f t="shared" si="88"/>
        <v>18824.47</v>
      </c>
      <c r="K295" s="63">
        <f t="shared" si="96"/>
        <v>3591.0899999999997</v>
      </c>
      <c r="L295" s="51">
        <f t="shared" si="96"/>
        <v>2305.3300000000004</v>
      </c>
      <c r="M295" s="51">
        <f t="shared" si="96"/>
        <v>2071.56</v>
      </c>
      <c r="N295" s="51">
        <f t="shared" si="96"/>
        <v>2097.2999999999997</v>
      </c>
      <c r="O295" s="51">
        <f t="shared" si="96"/>
        <v>1693.5300000000002</v>
      </c>
      <c r="P295" s="62">
        <f t="shared" si="96"/>
        <v>4196.6599999999989</v>
      </c>
      <c r="Q295" s="105">
        <f t="shared" si="89"/>
        <v>15955.469999999998</v>
      </c>
      <c r="R295" s="92">
        <f t="shared" si="90"/>
        <v>34779.94</v>
      </c>
      <c r="S295" s="84"/>
      <c r="T295" s="47"/>
      <c r="U295" s="19">
        <f t="shared" si="91"/>
        <v>0</v>
      </c>
      <c r="V295" s="19">
        <f t="shared" si="92"/>
        <v>0</v>
      </c>
      <c r="W295" s="19">
        <f t="shared" si="93"/>
        <v>0</v>
      </c>
      <c r="X295" s="19">
        <f t="shared" si="94"/>
        <v>0</v>
      </c>
      <c r="Y295" s="50"/>
    </row>
    <row r="296" spans="1:25" ht="49.5" customHeight="1" outlineLevel="1" x14ac:dyDescent="0.25">
      <c r="A296" s="16" t="s">
        <v>475</v>
      </c>
      <c r="B296" s="52" t="s">
        <v>453</v>
      </c>
      <c r="C296" s="53" t="s">
        <v>38</v>
      </c>
      <c r="D296" s="51">
        <f>D294</f>
        <v>4289.08</v>
      </c>
      <c r="E296" s="51">
        <f t="shared" ref="E296:P296" si="97">E294</f>
        <v>2652.45</v>
      </c>
      <c r="F296" s="51">
        <f t="shared" si="97"/>
        <v>3901.19</v>
      </c>
      <c r="G296" s="51">
        <f t="shared" si="97"/>
        <v>3079.55</v>
      </c>
      <c r="H296" s="51">
        <f t="shared" si="97"/>
        <v>2842.4399999999991</v>
      </c>
      <c r="I296" s="62">
        <f t="shared" si="97"/>
        <v>2059.7600000000002</v>
      </c>
      <c r="J296" s="105">
        <f t="shared" si="88"/>
        <v>18824.47</v>
      </c>
      <c r="K296" s="63">
        <f t="shared" si="97"/>
        <v>3591.0899999999997</v>
      </c>
      <c r="L296" s="51">
        <f t="shared" si="97"/>
        <v>2305.3300000000004</v>
      </c>
      <c r="M296" s="51">
        <f t="shared" si="97"/>
        <v>2071.56</v>
      </c>
      <c r="N296" s="51">
        <f t="shared" si="97"/>
        <v>2097.2999999999997</v>
      </c>
      <c r="O296" s="51">
        <f t="shared" si="97"/>
        <v>1693.5300000000002</v>
      </c>
      <c r="P296" s="62">
        <f t="shared" si="97"/>
        <v>4196.6599999999989</v>
      </c>
      <c r="Q296" s="105">
        <f t="shared" si="89"/>
        <v>15955.469999999998</v>
      </c>
      <c r="R296" s="92">
        <f t="shared" si="90"/>
        <v>34779.94</v>
      </c>
      <c r="S296" s="84"/>
      <c r="T296" s="47"/>
      <c r="U296" s="19">
        <f t="shared" si="91"/>
        <v>0</v>
      </c>
      <c r="V296" s="19">
        <f t="shared" si="92"/>
        <v>0</v>
      </c>
      <c r="W296" s="19">
        <f t="shared" si="93"/>
        <v>0</v>
      </c>
      <c r="X296" s="19">
        <f t="shared" si="94"/>
        <v>0</v>
      </c>
      <c r="Y296" s="50"/>
    </row>
    <row r="297" spans="1:25" ht="23.25" customHeight="1" outlineLevel="1" x14ac:dyDescent="0.25">
      <c r="A297" s="16" t="s">
        <v>476</v>
      </c>
      <c r="B297" s="52" t="s">
        <v>459</v>
      </c>
      <c r="C297" s="53" t="s">
        <v>38</v>
      </c>
      <c r="D297" s="51">
        <f>D296</f>
        <v>4289.08</v>
      </c>
      <c r="E297" s="51">
        <f t="shared" ref="E297:P297" si="98">E296</f>
        <v>2652.45</v>
      </c>
      <c r="F297" s="51">
        <f t="shared" si="98"/>
        <v>3901.19</v>
      </c>
      <c r="G297" s="51">
        <f t="shared" si="98"/>
        <v>3079.55</v>
      </c>
      <c r="H297" s="51">
        <f t="shared" si="98"/>
        <v>2842.4399999999991</v>
      </c>
      <c r="I297" s="62">
        <f t="shared" si="98"/>
        <v>2059.7600000000002</v>
      </c>
      <c r="J297" s="105">
        <f t="shared" si="88"/>
        <v>18824.47</v>
      </c>
      <c r="K297" s="63">
        <f t="shared" si="98"/>
        <v>3591.0899999999997</v>
      </c>
      <c r="L297" s="51">
        <f t="shared" si="98"/>
        <v>2305.3300000000004</v>
      </c>
      <c r="M297" s="51">
        <f t="shared" si="98"/>
        <v>2071.56</v>
      </c>
      <c r="N297" s="51">
        <f t="shared" si="98"/>
        <v>2097.2999999999997</v>
      </c>
      <c r="O297" s="51">
        <f t="shared" si="98"/>
        <v>1693.5300000000002</v>
      </c>
      <c r="P297" s="62">
        <f t="shared" si="98"/>
        <v>4196.6599999999989</v>
      </c>
      <c r="Q297" s="105">
        <f t="shared" si="89"/>
        <v>15955.469999999998</v>
      </c>
      <c r="R297" s="92">
        <f t="shared" si="90"/>
        <v>34779.94</v>
      </c>
      <c r="S297" s="84"/>
      <c r="T297" s="47"/>
      <c r="U297" s="19"/>
      <c r="V297" s="19"/>
      <c r="W297" s="19"/>
      <c r="X297" s="19"/>
      <c r="Y297" s="50"/>
    </row>
    <row r="298" spans="1:25" ht="26.25" outlineLevel="1" thickBot="1" x14ac:dyDescent="0.3">
      <c r="A298" s="16" t="s">
        <v>477</v>
      </c>
      <c r="B298" s="52" t="s">
        <v>454</v>
      </c>
      <c r="C298" s="53" t="s">
        <v>38</v>
      </c>
      <c r="D298" s="51">
        <v>66.48</v>
      </c>
      <c r="E298" s="51">
        <v>41.11</v>
      </c>
      <c r="F298" s="51">
        <v>60.47</v>
      </c>
      <c r="G298" s="51">
        <v>47.73</v>
      </c>
      <c r="H298" s="51">
        <v>44.06</v>
      </c>
      <c r="I298" s="62">
        <v>31.93</v>
      </c>
      <c r="J298" s="106">
        <f t="shared" si="88"/>
        <v>291.78000000000003</v>
      </c>
      <c r="K298" s="63">
        <v>55.66</v>
      </c>
      <c r="L298" s="51">
        <v>35.729999999999997</v>
      </c>
      <c r="M298" s="51">
        <v>32.11</v>
      </c>
      <c r="N298" s="51">
        <v>32.51</v>
      </c>
      <c r="O298" s="51">
        <v>26.25</v>
      </c>
      <c r="P298" s="62">
        <v>65.05</v>
      </c>
      <c r="Q298" s="106">
        <f t="shared" si="89"/>
        <v>247.31</v>
      </c>
      <c r="R298" s="93">
        <f t="shared" si="90"/>
        <v>539.09</v>
      </c>
      <c r="S298" s="84"/>
      <c r="T298" s="47"/>
      <c r="U298" s="19">
        <f t="shared" si="91"/>
        <v>0</v>
      </c>
      <c r="V298" s="19">
        <f t="shared" si="92"/>
        <v>0</v>
      </c>
      <c r="W298" s="19">
        <f t="shared" si="93"/>
        <v>0</v>
      </c>
      <c r="X298" s="19">
        <f t="shared" si="94"/>
        <v>0</v>
      </c>
      <c r="Y298" s="50"/>
    </row>
    <row r="299" spans="1:25" ht="24" customHeight="1" thickBot="1" x14ac:dyDescent="0.3">
      <c r="A299" s="9" t="s">
        <v>389</v>
      </c>
      <c r="B299" s="10" t="s">
        <v>390</v>
      </c>
      <c r="C299" s="11"/>
      <c r="D299" s="13"/>
      <c r="E299" s="13"/>
      <c r="F299" s="13"/>
      <c r="G299" s="13"/>
      <c r="H299" s="13"/>
      <c r="I299" s="13"/>
      <c r="J299" s="87"/>
      <c r="K299" s="13"/>
      <c r="L299" s="13"/>
      <c r="M299" s="13"/>
      <c r="N299" s="13"/>
      <c r="O299" s="13"/>
      <c r="P299" s="13"/>
      <c r="Q299" s="87"/>
      <c r="R299" s="88"/>
      <c r="S299" s="15"/>
      <c r="T299" s="15"/>
      <c r="U299" s="15"/>
      <c r="V299" s="14">
        <f>SUM(V300:V314)</f>
        <v>0</v>
      </c>
      <c r="W299" s="14">
        <f>SUM(W300:W314)</f>
        <v>0</v>
      </c>
      <c r="X299" s="14">
        <f>SUM(X300:X314)</f>
        <v>0</v>
      </c>
      <c r="Y299" s="49"/>
    </row>
    <row r="300" spans="1:25" ht="38.25" outlineLevel="1" x14ac:dyDescent="0.25">
      <c r="A300" s="16" t="s">
        <v>391</v>
      </c>
      <c r="B300" s="17" t="s">
        <v>392</v>
      </c>
      <c r="C300" s="53" t="s">
        <v>38</v>
      </c>
      <c r="D300" s="51">
        <v>1.5</v>
      </c>
      <c r="E300" s="51">
        <v>1.5</v>
      </c>
      <c r="F300" s="51">
        <v>1.5</v>
      </c>
      <c r="G300" s="51">
        <v>1.5</v>
      </c>
      <c r="H300" s="51">
        <v>1.5</v>
      </c>
      <c r="I300" s="62">
        <v>1.5</v>
      </c>
      <c r="J300" s="107">
        <f t="shared" ref="J300:J314" si="99">SUM(D300:I300)</f>
        <v>9</v>
      </c>
      <c r="K300" s="63">
        <v>1.5</v>
      </c>
      <c r="L300" s="51">
        <v>1.5</v>
      </c>
      <c r="M300" s="51">
        <v>1.5</v>
      </c>
      <c r="N300" s="51">
        <v>1.5</v>
      </c>
      <c r="O300" s="51">
        <v>1.5</v>
      </c>
      <c r="P300" s="62">
        <v>1.5</v>
      </c>
      <c r="Q300" s="107">
        <f t="shared" ref="Q300:Q314" si="100">SUM(K300:P300)</f>
        <v>9</v>
      </c>
      <c r="R300" s="94">
        <f t="shared" ref="R300:R313" si="101">J300+Q300</f>
        <v>18</v>
      </c>
      <c r="S300" s="84"/>
      <c r="T300" s="117"/>
      <c r="U300" s="19">
        <f>T300+S300</f>
        <v>0</v>
      </c>
      <c r="V300" s="19">
        <f>R300*S300</f>
        <v>0</v>
      </c>
      <c r="W300" s="19">
        <f>T300*R300</f>
        <v>0</v>
      </c>
      <c r="X300" s="19">
        <f>W300+V300</f>
        <v>0</v>
      </c>
      <c r="Y300" s="50"/>
    </row>
    <row r="301" spans="1:25" s="75" customFormat="1" ht="76.5" outlineLevel="1" x14ac:dyDescent="0.25">
      <c r="A301" s="78" t="s">
        <v>393</v>
      </c>
      <c r="B301" s="68" t="s">
        <v>58</v>
      </c>
      <c r="C301" s="71"/>
      <c r="D301" s="71"/>
      <c r="E301" s="71"/>
      <c r="F301" s="71"/>
      <c r="G301" s="71"/>
      <c r="H301" s="71"/>
      <c r="I301" s="97"/>
      <c r="J301" s="92"/>
      <c r="K301" s="112"/>
      <c r="L301" s="71"/>
      <c r="M301" s="71"/>
      <c r="N301" s="71"/>
      <c r="O301" s="71"/>
      <c r="P301" s="97"/>
      <c r="Q301" s="92"/>
      <c r="R301" s="92"/>
      <c r="S301" s="86"/>
      <c r="T301" s="74"/>
      <c r="U301" s="74"/>
      <c r="V301" s="74"/>
      <c r="W301" s="74"/>
      <c r="X301" s="74"/>
      <c r="Y301" s="77"/>
    </row>
    <row r="302" spans="1:25" ht="46.5" customHeight="1" outlineLevel="1" x14ac:dyDescent="0.25">
      <c r="A302" s="24" t="s">
        <v>394</v>
      </c>
      <c r="B302" s="20" t="s">
        <v>88</v>
      </c>
      <c r="C302" s="53" t="s">
        <v>38</v>
      </c>
      <c r="D302" s="51">
        <v>1.5</v>
      </c>
      <c r="E302" s="51">
        <v>1.5</v>
      </c>
      <c r="F302" s="51">
        <v>1.5</v>
      </c>
      <c r="G302" s="51">
        <v>1.5</v>
      </c>
      <c r="H302" s="51">
        <v>1.5</v>
      </c>
      <c r="I302" s="62">
        <v>1.5</v>
      </c>
      <c r="J302" s="105">
        <f t="shared" si="99"/>
        <v>9</v>
      </c>
      <c r="K302" s="63">
        <v>1.5</v>
      </c>
      <c r="L302" s="51">
        <v>1.5</v>
      </c>
      <c r="M302" s="51">
        <v>1.5</v>
      </c>
      <c r="N302" s="51">
        <v>1.5</v>
      </c>
      <c r="O302" s="51">
        <v>1.5</v>
      </c>
      <c r="P302" s="62">
        <v>1.5</v>
      </c>
      <c r="Q302" s="105">
        <f t="shared" si="100"/>
        <v>9</v>
      </c>
      <c r="R302" s="92">
        <f t="shared" si="101"/>
        <v>18</v>
      </c>
      <c r="S302" s="84"/>
      <c r="T302" s="117"/>
      <c r="U302" s="19">
        <f>T302+S302</f>
        <v>0</v>
      </c>
      <c r="V302" s="19">
        <f>R302*S302</f>
        <v>0</v>
      </c>
      <c r="W302" s="19">
        <f>T302*R302</f>
        <v>0</v>
      </c>
      <c r="X302" s="19">
        <f>W302+V302</f>
        <v>0</v>
      </c>
      <c r="Y302" s="50"/>
    </row>
    <row r="303" spans="1:25" s="75" customFormat="1" outlineLevel="1" x14ac:dyDescent="0.25">
      <c r="A303" s="78" t="s">
        <v>395</v>
      </c>
      <c r="B303" s="68" t="s">
        <v>334</v>
      </c>
      <c r="C303" s="71"/>
      <c r="D303" s="71"/>
      <c r="E303" s="71"/>
      <c r="F303" s="71"/>
      <c r="G303" s="71"/>
      <c r="H303" s="71"/>
      <c r="I303" s="97"/>
      <c r="J303" s="92"/>
      <c r="K303" s="112"/>
      <c r="L303" s="71"/>
      <c r="M303" s="71"/>
      <c r="N303" s="71"/>
      <c r="O303" s="71"/>
      <c r="P303" s="97"/>
      <c r="Q303" s="92"/>
      <c r="R303" s="92"/>
      <c r="S303" s="86"/>
      <c r="T303" s="74"/>
      <c r="U303" s="74"/>
      <c r="V303" s="74"/>
      <c r="W303" s="74"/>
      <c r="X303" s="74"/>
      <c r="Y303" s="77"/>
    </row>
    <row r="304" spans="1:25" ht="42" customHeight="1" outlineLevel="1" x14ac:dyDescent="0.25">
      <c r="A304" s="24" t="s">
        <v>396</v>
      </c>
      <c r="B304" s="20" t="s">
        <v>88</v>
      </c>
      <c r="C304" s="53" t="s">
        <v>38</v>
      </c>
      <c r="D304" s="51">
        <v>1.5</v>
      </c>
      <c r="E304" s="51">
        <v>1.5</v>
      </c>
      <c r="F304" s="51">
        <v>1.5</v>
      </c>
      <c r="G304" s="51">
        <v>1.5</v>
      </c>
      <c r="H304" s="51">
        <v>1.5</v>
      </c>
      <c r="I304" s="62">
        <v>1.5</v>
      </c>
      <c r="J304" s="105">
        <f t="shared" si="99"/>
        <v>9</v>
      </c>
      <c r="K304" s="63">
        <v>1.5</v>
      </c>
      <c r="L304" s="51">
        <v>1.5</v>
      </c>
      <c r="M304" s="51">
        <v>1.5</v>
      </c>
      <c r="N304" s="51">
        <v>1.5</v>
      </c>
      <c r="O304" s="51">
        <v>1.5</v>
      </c>
      <c r="P304" s="62">
        <v>1.5</v>
      </c>
      <c r="Q304" s="105">
        <f t="shared" si="100"/>
        <v>9</v>
      </c>
      <c r="R304" s="92">
        <f t="shared" si="101"/>
        <v>18</v>
      </c>
      <c r="S304" s="84"/>
      <c r="T304" s="117"/>
      <c r="U304" s="19">
        <f>T304+S304</f>
        <v>0</v>
      </c>
      <c r="V304" s="19">
        <f>R304*S304</f>
        <v>0</v>
      </c>
      <c r="W304" s="19">
        <f>T304*R304</f>
        <v>0</v>
      </c>
      <c r="X304" s="19">
        <f>W304+V304</f>
        <v>0</v>
      </c>
      <c r="Y304" s="50"/>
    </row>
    <row r="305" spans="1:25" s="75" customFormat="1" ht="18" customHeight="1" outlineLevel="1" x14ac:dyDescent="0.25">
      <c r="A305" s="78" t="s">
        <v>397</v>
      </c>
      <c r="B305" s="68" t="s">
        <v>18</v>
      </c>
      <c r="C305" s="71"/>
      <c r="D305" s="71"/>
      <c r="E305" s="71"/>
      <c r="F305" s="71"/>
      <c r="G305" s="71"/>
      <c r="H305" s="71"/>
      <c r="I305" s="97"/>
      <c r="J305" s="92"/>
      <c r="K305" s="112"/>
      <c r="L305" s="71"/>
      <c r="M305" s="71"/>
      <c r="N305" s="71"/>
      <c r="O305" s="71"/>
      <c r="P305" s="97"/>
      <c r="Q305" s="92"/>
      <c r="R305" s="92"/>
      <c r="S305" s="86"/>
      <c r="T305" s="74"/>
      <c r="U305" s="74"/>
      <c r="V305" s="74"/>
      <c r="W305" s="74"/>
      <c r="X305" s="74"/>
      <c r="Y305" s="77"/>
    </row>
    <row r="306" spans="1:25" ht="76.5" outlineLevel="1" x14ac:dyDescent="0.25">
      <c r="A306" s="24" t="s">
        <v>398</v>
      </c>
      <c r="B306" s="17" t="s">
        <v>40</v>
      </c>
      <c r="C306" s="53" t="s">
        <v>38</v>
      </c>
      <c r="D306" s="51">
        <v>15</v>
      </c>
      <c r="E306" s="51">
        <v>15</v>
      </c>
      <c r="F306" s="51">
        <v>15</v>
      </c>
      <c r="G306" s="51">
        <v>15</v>
      </c>
      <c r="H306" s="51">
        <v>15</v>
      </c>
      <c r="I306" s="62">
        <v>15</v>
      </c>
      <c r="J306" s="105">
        <f t="shared" si="99"/>
        <v>90</v>
      </c>
      <c r="K306" s="63">
        <v>15</v>
      </c>
      <c r="L306" s="51">
        <v>15</v>
      </c>
      <c r="M306" s="51">
        <v>15</v>
      </c>
      <c r="N306" s="51">
        <v>15</v>
      </c>
      <c r="O306" s="51">
        <v>15</v>
      </c>
      <c r="P306" s="62">
        <v>15</v>
      </c>
      <c r="Q306" s="105">
        <f t="shared" si="100"/>
        <v>90</v>
      </c>
      <c r="R306" s="92">
        <f t="shared" si="101"/>
        <v>180</v>
      </c>
      <c r="S306" s="84"/>
      <c r="T306" s="117"/>
      <c r="U306" s="19">
        <f t="shared" ref="U306:U314" si="102">T306+S306</f>
        <v>0</v>
      </c>
      <c r="V306" s="19">
        <f t="shared" ref="V306:V314" si="103">R306*S306</f>
        <v>0</v>
      </c>
      <c r="W306" s="19">
        <f t="shared" ref="W306:W314" si="104">T306*R306</f>
        <v>0</v>
      </c>
      <c r="X306" s="19">
        <f t="shared" ref="X306:X314" si="105">W306+V306</f>
        <v>0</v>
      </c>
      <c r="Y306" s="50"/>
    </row>
    <row r="307" spans="1:25" ht="76.5" outlineLevel="1" x14ac:dyDescent="0.25">
      <c r="A307" s="24" t="s">
        <v>399</v>
      </c>
      <c r="B307" s="17" t="s">
        <v>42</v>
      </c>
      <c r="C307" s="53" t="s">
        <v>38</v>
      </c>
      <c r="D307" s="51">
        <v>15</v>
      </c>
      <c r="E307" s="51">
        <v>0</v>
      </c>
      <c r="F307" s="51">
        <v>15</v>
      </c>
      <c r="G307" s="51">
        <v>15</v>
      </c>
      <c r="H307" s="51">
        <v>0</v>
      </c>
      <c r="I307" s="62">
        <v>0</v>
      </c>
      <c r="J307" s="105">
        <f t="shared" si="99"/>
        <v>45</v>
      </c>
      <c r="K307" s="63">
        <v>15</v>
      </c>
      <c r="L307" s="51">
        <v>0</v>
      </c>
      <c r="M307" s="51">
        <v>15</v>
      </c>
      <c r="N307" s="51">
        <v>0</v>
      </c>
      <c r="O307" s="51">
        <v>0</v>
      </c>
      <c r="P307" s="62">
        <v>15</v>
      </c>
      <c r="Q307" s="105">
        <f t="shared" si="100"/>
        <v>45</v>
      </c>
      <c r="R307" s="92">
        <f t="shared" si="101"/>
        <v>90</v>
      </c>
      <c r="S307" s="84"/>
      <c r="T307" s="117"/>
      <c r="U307" s="19">
        <f t="shared" si="102"/>
        <v>0</v>
      </c>
      <c r="V307" s="19">
        <f t="shared" si="103"/>
        <v>0</v>
      </c>
      <c r="W307" s="19">
        <f t="shared" si="104"/>
        <v>0</v>
      </c>
      <c r="X307" s="19">
        <f t="shared" si="105"/>
        <v>0</v>
      </c>
      <c r="Y307" s="50"/>
    </row>
    <row r="308" spans="1:25" ht="76.5" outlineLevel="1" x14ac:dyDescent="0.25">
      <c r="A308" s="24" t="s">
        <v>400</v>
      </c>
      <c r="B308" s="17" t="s">
        <v>44</v>
      </c>
      <c r="C308" s="53" t="s">
        <v>38</v>
      </c>
      <c r="D308" s="51">
        <v>0</v>
      </c>
      <c r="E308" s="51">
        <v>15</v>
      </c>
      <c r="F308" s="51">
        <v>15</v>
      </c>
      <c r="G308" s="51">
        <v>0</v>
      </c>
      <c r="H308" s="51">
        <v>15</v>
      </c>
      <c r="I308" s="62">
        <v>0</v>
      </c>
      <c r="J308" s="105">
        <f t="shared" si="99"/>
        <v>45</v>
      </c>
      <c r="K308" s="63">
        <v>15</v>
      </c>
      <c r="L308" s="51">
        <v>0</v>
      </c>
      <c r="M308" s="51">
        <v>0</v>
      </c>
      <c r="N308" s="51">
        <v>0</v>
      </c>
      <c r="O308" s="51">
        <v>0</v>
      </c>
      <c r="P308" s="62">
        <v>0</v>
      </c>
      <c r="Q308" s="105">
        <f t="shared" si="100"/>
        <v>15</v>
      </c>
      <c r="R308" s="92">
        <f t="shared" si="101"/>
        <v>60</v>
      </c>
      <c r="S308" s="84"/>
      <c r="T308" s="117"/>
      <c r="U308" s="19">
        <f t="shared" si="102"/>
        <v>0</v>
      </c>
      <c r="V308" s="19">
        <f t="shared" si="103"/>
        <v>0</v>
      </c>
      <c r="W308" s="19">
        <f t="shared" si="104"/>
        <v>0</v>
      </c>
      <c r="X308" s="19">
        <f t="shared" si="105"/>
        <v>0</v>
      </c>
      <c r="Y308" s="50"/>
    </row>
    <row r="309" spans="1:25" ht="76.5" outlineLevel="1" x14ac:dyDescent="0.25">
      <c r="A309" s="24" t="s">
        <v>401</v>
      </c>
      <c r="B309" s="17" t="s">
        <v>46</v>
      </c>
      <c r="C309" s="53" t="s">
        <v>38</v>
      </c>
      <c r="D309" s="51">
        <v>0</v>
      </c>
      <c r="E309" s="51">
        <v>15</v>
      </c>
      <c r="F309" s="51">
        <v>0</v>
      </c>
      <c r="G309" s="51">
        <v>0</v>
      </c>
      <c r="H309" s="51">
        <v>0</v>
      </c>
      <c r="I309" s="62">
        <v>0</v>
      </c>
      <c r="J309" s="105">
        <f t="shared" si="99"/>
        <v>15</v>
      </c>
      <c r="K309" s="63">
        <v>0</v>
      </c>
      <c r="L309" s="51">
        <v>0</v>
      </c>
      <c r="M309" s="51">
        <v>0</v>
      </c>
      <c r="N309" s="51">
        <v>0</v>
      </c>
      <c r="O309" s="51">
        <v>0</v>
      </c>
      <c r="P309" s="62">
        <v>0</v>
      </c>
      <c r="Q309" s="105">
        <f t="shared" si="100"/>
        <v>0</v>
      </c>
      <c r="R309" s="92">
        <f t="shared" si="101"/>
        <v>15</v>
      </c>
      <c r="S309" s="84"/>
      <c r="T309" s="117"/>
      <c r="U309" s="19">
        <f t="shared" si="102"/>
        <v>0</v>
      </c>
      <c r="V309" s="19">
        <f t="shared" si="103"/>
        <v>0</v>
      </c>
      <c r="W309" s="19">
        <f t="shared" si="104"/>
        <v>0</v>
      </c>
      <c r="X309" s="19">
        <f t="shared" si="105"/>
        <v>0</v>
      </c>
      <c r="Y309" s="50"/>
    </row>
    <row r="310" spans="1:25" ht="76.5" outlineLevel="1" x14ac:dyDescent="0.25">
      <c r="A310" s="24" t="s">
        <v>402</v>
      </c>
      <c r="B310" s="17" t="s">
        <v>48</v>
      </c>
      <c r="C310" s="53" t="s">
        <v>38</v>
      </c>
      <c r="D310" s="51">
        <v>0</v>
      </c>
      <c r="E310" s="51">
        <v>0</v>
      </c>
      <c r="F310" s="51">
        <v>15</v>
      </c>
      <c r="G310" s="51">
        <v>0</v>
      </c>
      <c r="H310" s="51">
        <v>0</v>
      </c>
      <c r="I310" s="62">
        <v>0</v>
      </c>
      <c r="J310" s="105">
        <f t="shared" si="99"/>
        <v>15</v>
      </c>
      <c r="K310" s="63">
        <v>0</v>
      </c>
      <c r="L310" s="51">
        <v>0</v>
      </c>
      <c r="M310" s="51">
        <v>0</v>
      </c>
      <c r="N310" s="51">
        <v>0</v>
      </c>
      <c r="O310" s="51">
        <v>0</v>
      </c>
      <c r="P310" s="62">
        <v>0</v>
      </c>
      <c r="Q310" s="105">
        <f t="shared" si="100"/>
        <v>0</v>
      </c>
      <c r="R310" s="92">
        <f t="shared" si="101"/>
        <v>15</v>
      </c>
      <c r="S310" s="84"/>
      <c r="T310" s="117"/>
      <c r="U310" s="19">
        <f t="shared" si="102"/>
        <v>0</v>
      </c>
      <c r="V310" s="19">
        <f t="shared" si="103"/>
        <v>0</v>
      </c>
      <c r="W310" s="19">
        <f t="shared" si="104"/>
        <v>0</v>
      </c>
      <c r="X310" s="19">
        <f t="shared" si="105"/>
        <v>0</v>
      </c>
      <c r="Y310" s="50"/>
    </row>
    <row r="311" spans="1:25" ht="76.5" outlineLevel="1" x14ac:dyDescent="0.25">
      <c r="A311" s="24" t="s">
        <v>403</v>
      </c>
      <c r="B311" s="17" t="s">
        <v>50</v>
      </c>
      <c r="C311" s="53" t="s">
        <v>38</v>
      </c>
      <c r="D311" s="51">
        <v>0</v>
      </c>
      <c r="E311" s="51">
        <v>0</v>
      </c>
      <c r="F311" s="51">
        <v>0</v>
      </c>
      <c r="G311" s="51">
        <v>15</v>
      </c>
      <c r="H311" s="51">
        <v>0</v>
      </c>
      <c r="I311" s="62">
        <v>0</v>
      </c>
      <c r="J311" s="105">
        <f t="shared" si="99"/>
        <v>15</v>
      </c>
      <c r="K311" s="63">
        <v>0</v>
      </c>
      <c r="L311" s="51">
        <v>0</v>
      </c>
      <c r="M311" s="51">
        <v>0</v>
      </c>
      <c r="N311" s="51">
        <v>0</v>
      </c>
      <c r="O311" s="51">
        <v>0</v>
      </c>
      <c r="P311" s="62">
        <v>15</v>
      </c>
      <c r="Q311" s="105">
        <f t="shared" si="100"/>
        <v>15</v>
      </c>
      <c r="R311" s="92">
        <f t="shared" si="101"/>
        <v>30</v>
      </c>
      <c r="S311" s="84"/>
      <c r="T311" s="117"/>
      <c r="U311" s="19">
        <f t="shared" si="102"/>
        <v>0</v>
      </c>
      <c r="V311" s="19">
        <f t="shared" si="103"/>
        <v>0</v>
      </c>
      <c r="W311" s="19">
        <f t="shared" si="104"/>
        <v>0</v>
      </c>
      <c r="X311" s="19">
        <f t="shared" si="105"/>
        <v>0</v>
      </c>
      <c r="Y311" s="50"/>
    </row>
    <row r="312" spans="1:25" ht="76.5" outlineLevel="1" x14ac:dyDescent="0.25">
      <c r="A312" s="24" t="s">
        <v>404</v>
      </c>
      <c r="B312" s="17" t="s">
        <v>52</v>
      </c>
      <c r="C312" s="53" t="s">
        <v>38</v>
      </c>
      <c r="D312" s="51">
        <v>0</v>
      </c>
      <c r="E312" s="51">
        <v>0</v>
      </c>
      <c r="F312" s="51">
        <v>0</v>
      </c>
      <c r="G312" s="51">
        <v>15</v>
      </c>
      <c r="H312" s="51">
        <v>0</v>
      </c>
      <c r="I312" s="62">
        <v>0</v>
      </c>
      <c r="J312" s="105">
        <f t="shared" si="99"/>
        <v>15</v>
      </c>
      <c r="K312" s="63">
        <v>15</v>
      </c>
      <c r="L312" s="51">
        <v>0</v>
      </c>
      <c r="M312" s="51">
        <v>0</v>
      </c>
      <c r="N312" s="51">
        <v>0</v>
      </c>
      <c r="O312" s="51">
        <v>0</v>
      </c>
      <c r="P312" s="62">
        <v>15</v>
      </c>
      <c r="Q312" s="105">
        <f t="shared" si="100"/>
        <v>30</v>
      </c>
      <c r="R312" s="92">
        <f t="shared" si="101"/>
        <v>45</v>
      </c>
      <c r="S312" s="84"/>
      <c r="T312" s="117"/>
      <c r="U312" s="19">
        <f t="shared" si="102"/>
        <v>0</v>
      </c>
      <c r="V312" s="19">
        <f t="shared" si="103"/>
        <v>0</v>
      </c>
      <c r="W312" s="19">
        <f t="shared" si="104"/>
        <v>0</v>
      </c>
      <c r="X312" s="19">
        <f t="shared" si="105"/>
        <v>0</v>
      </c>
      <c r="Y312" s="50"/>
    </row>
    <row r="313" spans="1:25" ht="76.5" outlineLevel="1" x14ac:dyDescent="0.25">
      <c r="A313" s="24" t="s">
        <v>405</v>
      </c>
      <c r="B313" s="17" t="s">
        <v>54</v>
      </c>
      <c r="C313" s="53" t="s">
        <v>38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62">
        <v>0</v>
      </c>
      <c r="J313" s="105">
        <f t="shared" si="99"/>
        <v>0</v>
      </c>
      <c r="K313" s="63">
        <v>15</v>
      </c>
      <c r="L313" s="51">
        <v>15</v>
      </c>
      <c r="M313" s="51">
        <v>0</v>
      </c>
      <c r="N313" s="51">
        <v>0</v>
      </c>
      <c r="O313" s="51">
        <v>0</v>
      </c>
      <c r="P313" s="62">
        <v>0</v>
      </c>
      <c r="Q313" s="105">
        <f t="shared" si="100"/>
        <v>30</v>
      </c>
      <c r="R313" s="92">
        <f t="shared" si="101"/>
        <v>30</v>
      </c>
      <c r="S313" s="84"/>
      <c r="T313" s="117"/>
      <c r="U313" s="19">
        <f t="shared" si="102"/>
        <v>0</v>
      </c>
      <c r="V313" s="19">
        <f t="shared" si="103"/>
        <v>0</v>
      </c>
      <c r="W313" s="19">
        <f t="shared" si="104"/>
        <v>0</v>
      </c>
      <c r="X313" s="19">
        <f t="shared" si="105"/>
        <v>0</v>
      </c>
      <c r="Y313" s="50"/>
    </row>
    <row r="314" spans="1:25" ht="77.25" outlineLevel="1" thickBot="1" x14ac:dyDescent="0.3">
      <c r="A314" s="24" t="s">
        <v>406</v>
      </c>
      <c r="B314" s="17" t="s">
        <v>56</v>
      </c>
      <c r="C314" s="53" t="s">
        <v>38</v>
      </c>
      <c r="D314" s="51">
        <v>0</v>
      </c>
      <c r="E314" s="51">
        <v>0</v>
      </c>
      <c r="F314" s="51">
        <v>0</v>
      </c>
      <c r="G314" s="51">
        <v>0</v>
      </c>
      <c r="H314" s="51">
        <v>0</v>
      </c>
      <c r="I314" s="62">
        <v>0</v>
      </c>
      <c r="J314" s="106">
        <f t="shared" si="99"/>
        <v>0</v>
      </c>
      <c r="K314" s="63">
        <v>0</v>
      </c>
      <c r="L314" s="51">
        <v>0</v>
      </c>
      <c r="M314" s="51">
        <v>0</v>
      </c>
      <c r="N314" s="51">
        <v>0</v>
      </c>
      <c r="O314" s="51">
        <v>0</v>
      </c>
      <c r="P314" s="62">
        <v>15</v>
      </c>
      <c r="Q314" s="106">
        <f t="shared" si="100"/>
        <v>15</v>
      </c>
      <c r="R314" s="93">
        <f>J314+Q314</f>
        <v>15</v>
      </c>
      <c r="S314" s="84"/>
      <c r="T314" s="117"/>
      <c r="U314" s="19">
        <f t="shared" si="102"/>
        <v>0</v>
      </c>
      <c r="V314" s="19">
        <f t="shared" si="103"/>
        <v>0</v>
      </c>
      <c r="W314" s="19">
        <f t="shared" si="104"/>
        <v>0</v>
      </c>
      <c r="X314" s="19">
        <f t="shared" si="105"/>
        <v>0</v>
      </c>
      <c r="Y314" s="50"/>
    </row>
    <row r="315" spans="1:25" ht="21.75" customHeight="1" x14ac:dyDescent="0.25">
      <c r="A315" s="25"/>
      <c r="B315" s="26" t="s">
        <v>415</v>
      </c>
      <c r="C315" s="25"/>
      <c r="D315" s="25"/>
      <c r="E315" s="25"/>
      <c r="F315" s="25"/>
      <c r="G315" s="25"/>
      <c r="H315" s="25"/>
      <c r="I315" s="25"/>
      <c r="J315" s="102"/>
      <c r="K315" s="25"/>
      <c r="L315" s="25"/>
      <c r="M315" s="25"/>
      <c r="N315" s="25"/>
      <c r="O315" s="25"/>
      <c r="P315" s="25"/>
      <c r="Q315" s="102"/>
      <c r="R315" s="89"/>
      <c r="S315" s="25"/>
      <c r="T315" s="25"/>
      <c r="U315" s="25"/>
      <c r="V315" s="28">
        <f>V9+V28+V45+V49+V124+V157+V161+V168+V189+V254+V269+V272+V275+V282+V288+V290+V299</f>
        <v>0</v>
      </c>
      <c r="W315" s="28">
        <f>W9+W28+W45+W49+W124+W157+W161+W168+W189+W254+W269+W272+W275+W282+W288+W290+W299</f>
        <v>0</v>
      </c>
      <c r="X315" s="29">
        <f>X9+X28+X45+X49+X124+X157+X161+X168+X189+X254+X269+X272+X275+X282+X288+X290+X299</f>
        <v>0</v>
      </c>
      <c r="Y315" s="25"/>
    </row>
    <row r="316" spans="1:25" x14ac:dyDescent="0.25">
      <c r="A316" s="25"/>
      <c r="B316" s="30" t="s">
        <v>438</v>
      </c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5"/>
      <c r="T316" s="25"/>
      <c r="U316" s="25"/>
      <c r="V316" s="31"/>
      <c r="W316" s="31"/>
      <c r="X316" s="32">
        <f>X315/6</f>
        <v>0</v>
      </c>
      <c r="Y316" s="25"/>
    </row>
    <row r="317" spans="1:25" ht="21.75" customHeight="1" x14ac:dyDescent="0.25">
      <c r="R317" s="33"/>
    </row>
    <row r="318" spans="1:25" ht="16.5" customHeight="1" x14ac:dyDescent="0.25">
      <c r="A318" s="34"/>
      <c r="B318" s="254" t="s">
        <v>442</v>
      </c>
      <c r="C318" s="255"/>
      <c r="R318" s="35"/>
      <c r="S318" s="36"/>
      <c r="T318" s="36"/>
      <c r="U318" s="36"/>
      <c r="V318" s="36"/>
      <c r="W318" s="36"/>
      <c r="X318" s="36"/>
      <c r="Y318" s="37"/>
    </row>
    <row r="319" spans="1:25" ht="53.25" customHeight="1" x14ac:dyDescent="0.25">
      <c r="A319" s="38">
        <v>1</v>
      </c>
      <c r="B319" s="231" t="s">
        <v>447</v>
      </c>
      <c r="C319" s="232"/>
      <c r="D319" s="233"/>
      <c r="R319" s="219"/>
      <c r="S319" s="220"/>
      <c r="T319" s="220"/>
      <c r="U319" s="220"/>
      <c r="V319" s="220"/>
      <c r="W319" s="220"/>
      <c r="X319" s="220"/>
      <c r="Y319" s="221"/>
    </row>
    <row r="320" spans="1:25" ht="58.5" customHeight="1" x14ac:dyDescent="0.25">
      <c r="A320" s="38">
        <v>2</v>
      </c>
      <c r="B320" s="257" t="s">
        <v>448</v>
      </c>
      <c r="C320" s="258"/>
      <c r="D320" s="259"/>
      <c r="R320" s="219"/>
      <c r="S320" s="220"/>
      <c r="T320" s="220"/>
      <c r="U320" s="220"/>
      <c r="V320" s="220"/>
      <c r="W320" s="220"/>
      <c r="X320" s="220"/>
      <c r="Y320" s="221"/>
    </row>
    <row r="321" spans="1:25" ht="73.5" customHeight="1" x14ac:dyDescent="0.25">
      <c r="A321" s="38">
        <v>3</v>
      </c>
      <c r="B321" s="231" t="s">
        <v>416</v>
      </c>
      <c r="C321" s="232"/>
      <c r="D321" s="233"/>
      <c r="R321" s="219"/>
      <c r="S321" s="220"/>
      <c r="T321" s="220"/>
      <c r="U321" s="220"/>
      <c r="V321" s="220"/>
      <c r="W321" s="220"/>
      <c r="X321" s="220"/>
      <c r="Y321" s="221"/>
    </row>
    <row r="322" spans="1:25" ht="73.5" customHeight="1" x14ac:dyDescent="0.25">
      <c r="A322" s="38">
        <v>4</v>
      </c>
      <c r="B322" s="231" t="s">
        <v>417</v>
      </c>
      <c r="C322" s="232"/>
      <c r="D322" s="233"/>
      <c r="R322" s="219"/>
      <c r="S322" s="220"/>
      <c r="T322" s="220"/>
      <c r="U322" s="220"/>
      <c r="V322" s="220"/>
      <c r="W322" s="220"/>
      <c r="X322" s="220"/>
      <c r="Y322" s="221"/>
    </row>
    <row r="323" spans="1:25" ht="41.25" customHeight="1" x14ac:dyDescent="0.25">
      <c r="A323" s="38">
        <v>5</v>
      </c>
      <c r="B323" s="231" t="s">
        <v>418</v>
      </c>
      <c r="C323" s="232"/>
      <c r="D323" s="233"/>
      <c r="R323" s="219"/>
      <c r="S323" s="220"/>
      <c r="T323" s="220"/>
      <c r="U323" s="220"/>
      <c r="V323" s="220"/>
      <c r="W323" s="220"/>
      <c r="X323" s="220"/>
      <c r="Y323" s="221"/>
    </row>
    <row r="324" spans="1:25" ht="45" customHeight="1" x14ac:dyDescent="0.25">
      <c r="A324" s="38">
        <v>6</v>
      </c>
      <c r="B324" s="231" t="s">
        <v>419</v>
      </c>
      <c r="C324" s="232"/>
      <c r="D324" s="233"/>
      <c r="R324" s="219"/>
      <c r="S324" s="220"/>
      <c r="T324" s="220"/>
      <c r="U324" s="220"/>
      <c r="V324" s="220"/>
      <c r="W324" s="220"/>
      <c r="X324" s="220"/>
      <c r="Y324" s="221"/>
    </row>
    <row r="325" spans="1:25" ht="33.75" customHeight="1" x14ac:dyDescent="0.25">
      <c r="A325" s="38">
        <v>7</v>
      </c>
      <c r="B325" s="231" t="s">
        <v>420</v>
      </c>
      <c r="C325" s="232"/>
      <c r="D325" s="233"/>
      <c r="R325" s="222"/>
      <c r="S325" s="223"/>
      <c r="T325" s="223"/>
      <c r="U325" s="223"/>
      <c r="V325" s="223"/>
      <c r="W325" s="223"/>
      <c r="X325" s="223"/>
      <c r="Y325" s="224"/>
    </row>
    <row r="326" spans="1:25" ht="29.25" customHeight="1" x14ac:dyDescent="0.25">
      <c r="A326" s="38">
        <v>8</v>
      </c>
      <c r="B326" s="231" t="s">
        <v>439</v>
      </c>
      <c r="C326" s="232"/>
      <c r="D326" s="233"/>
      <c r="R326" s="225"/>
      <c r="S326" s="226"/>
      <c r="T326" s="226"/>
      <c r="U326" s="226"/>
      <c r="V326" s="226"/>
      <c r="W326" s="226"/>
      <c r="X326" s="226"/>
      <c r="Y326" s="227"/>
    </row>
    <row r="327" spans="1:25" ht="43.5" customHeight="1" x14ac:dyDescent="0.25">
      <c r="A327" s="38">
        <v>9</v>
      </c>
      <c r="B327" s="231" t="s">
        <v>441</v>
      </c>
      <c r="C327" s="232"/>
      <c r="D327" s="233"/>
      <c r="R327" s="219"/>
      <c r="S327" s="220"/>
      <c r="T327" s="220"/>
      <c r="U327" s="220"/>
      <c r="V327" s="220"/>
      <c r="W327" s="220"/>
      <c r="X327" s="220"/>
      <c r="Y327" s="221"/>
    </row>
    <row r="328" spans="1:25" ht="48.75" customHeight="1" x14ac:dyDescent="0.25">
      <c r="A328" s="38">
        <v>10</v>
      </c>
      <c r="B328" s="231" t="s">
        <v>421</v>
      </c>
      <c r="C328" s="232"/>
      <c r="D328" s="233"/>
      <c r="R328" s="219"/>
      <c r="S328" s="220"/>
      <c r="T328" s="220"/>
      <c r="U328" s="220"/>
      <c r="V328" s="220"/>
      <c r="W328" s="220"/>
      <c r="X328" s="220"/>
      <c r="Y328" s="221"/>
    </row>
    <row r="329" spans="1:25" ht="42" customHeight="1" x14ac:dyDescent="0.25">
      <c r="A329" s="38">
        <v>11</v>
      </c>
      <c r="B329" s="231" t="s">
        <v>422</v>
      </c>
      <c r="C329" s="232"/>
      <c r="D329" s="233"/>
      <c r="R329" s="219"/>
      <c r="S329" s="220"/>
      <c r="T329" s="220"/>
      <c r="U329" s="220"/>
      <c r="V329" s="220"/>
      <c r="W329" s="220"/>
      <c r="X329" s="220"/>
      <c r="Y329" s="221"/>
    </row>
    <row r="330" spans="1:25" ht="47.25" customHeight="1" x14ac:dyDescent="0.25">
      <c r="A330" s="38">
        <v>12</v>
      </c>
      <c r="B330" s="231" t="s">
        <v>423</v>
      </c>
      <c r="C330" s="233"/>
      <c r="D330" s="39"/>
      <c r="R330" s="219"/>
      <c r="S330" s="220"/>
      <c r="T330" s="220"/>
      <c r="U330" s="220"/>
      <c r="V330" s="220"/>
      <c r="W330" s="220"/>
      <c r="X330" s="220"/>
      <c r="Y330" s="221"/>
    </row>
    <row r="331" spans="1:25" ht="51.75" customHeight="1" x14ac:dyDescent="0.25">
      <c r="A331" s="38">
        <v>13</v>
      </c>
      <c r="B331" s="231" t="s">
        <v>424</v>
      </c>
      <c r="C331" s="232"/>
      <c r="D331" s="233"/>
      <c r="R331" s="219"/>
      <c r="S331" s="220"/>
      <c r="T331" s="220"/>
      <c r="U331" s="220"/>
      <c r="V331" s="220"/>
      <c r="W331" s="220"/>
      <c r="X331" s="220"/>
      <c r="Y331" s="221"/>
    </row>
    <row r="332" spans="1:25" ht="46.5" customHeight="1" x14ac:dyDescent="0.25">
      <c r="A332" s="38">
        <v>14</v>
      </c>
      <c r="B332" s="231" t="s">
        <v>425</v>
      </c>
      <c r="C332" s="232"/>
      <c r="D332" s="233"/>
      <c r="R332" s="219"/>
      <c r="S332" s="220"/>
      <c r="T332" s="220"/>
      <c r="U332" s="220"/>
      <c r="V332" s="220"/>
      <c r="W332" s="220"/>
      <c r="X332" s="220"/>
      <c r="Y332" s="221"/>
    </row>
    <row r="333" spans="1:25" ht="29.25" customHeight="1" x14ac:dyDescent="0.25">
      <c r="A333" s="38">
        <v>15</v>
      </c>
      <c r="B333" s="231" t="s">
        <v>426</v>
      </c>
      <c r="C333" s="232"/>
      <c r="D333" s="233"/>
      <c r="R333" s="219"/>
      <c r="S333" s="220"/>
      <c r="T333" s="220"/>
      <c r="U333" s="220"/>
      <c r="V333" s="220"/>
      <c r="W333" s="220"/>
      <c r="X333" s="220"/>
      <c r="Y333" s="221"/>
    </row>
    <row r="334" spans="1:25" ht="63.75" customHeight="1" x14ac:dyDescent="0.25">
      <c r="A334" s="38">
        <v>16</v>
      </c>
      <c r="B334" s="231" t="s">
        <v>427</v>
      </c>
      <c r="C334" s="232"/>
      <c r="D334" s="233"/>
      <c r="R334" s="219"/>
      <c r="S334" s="220"/>
      <c r="T334" s="220"/>
      <c r="U334" s="220"/>
      <c r="V334" s="220"/>
      <c r="W334" s="220"/>
      <c r="X334" s="220"/>
      <c r="Y334" s="221"/>
    </row>
    <row r="335" spans="1:25" ht="123" customHeight="1" x14ac:dyDescent="0.25">
      <c r="A335" s="38">
        <v>17</v>
      </c>
      <c r="B335" s="231" t="s">
        <v>428</v>
      </c>
      <c r="C335" s="232"/>
      <c r="D335" s="233"/>
      <c r="R335" s="219"/>
      <c r="S335" s="220"/>
      <c r="T335" s="220"/>
      <c r="U335" s="220"/>
      <c r="V335" s="220"/>
      <c r="W335" s="220"/>
      <c r="X335" s="220"/>
      <c r="Y335" s="221"/>
    </row>
    <row r="336" spans="1:25" ht="35.25" customHeight="1" x14ac:dyDescent="0.25">
      <c r="A336" s="38">
        <v>18</v>
      </c>
      <c r="B336" s="231" t="s">
        <v>429</v>
      </c>
      <c r="C336" s="232"/>
      <c r="D336" s="233"/>
      <c r="R336" s="216"/>
      <c r="S336" s="217"/>
      <c r="T336" s="217"/>
      <c r="U336" s="217"/>
      <c r="V336" s="217"/>
      <c r="W336" s="217"/>
      <c r="X336" s="217"/>
      <c r="Y336" s="218"/>
    </row>
    <row r="337" spans="1:25" ht="29.25" customHeight="1" x14ac:dyDescent="0.25">
      <c r="A337" s="38">
        <v>19</v>
      </c>
      <c r="B337" s="231" t="s">
        <v>430</v>
      </c>
      <c r="C337" s="232"/>
      <c r="D337" s="233"/>
      <c r="R337" s="216"/>
      <c r="S337" s="217"/>
      <c r="T337" s="217"/>
      <c r="U337" s="217"/>
      <c r="V337" s="217"/>
      <c r="W337" s="217"/>
      <c r="X337" s="217"/>
      <c r="Y337" s="218"/>
    </row>
    <row r="338" spans="1:25" ht="36.75" customHeight="1" x14ac:dyDescent="0.25">
      <c r="A338" s="38">
        <v>20</v>
      </c>
      <c r="B338" s="231" t="s">
        <v>431</v>
      </c>
      <c r="C338" s="232"/>
      <c r="D338" s="233"/>
      <c r="R338" s="216"/>
      <c r="S338" s="217"/>
      <c r="T338" s="217"/>
      <c r="U338" s="217"/>
      <c r="V338" s="217"/>
      <c r="W338" s="217"/>
      <c r="X338" s="217"/>
      <c r="Y338" s="218"/>
    </row>
    <row r="339" spans="1:25" ht="42.75" customHeight="1" x14ac:dyDescent="0.25">
      <c r="A339" s="38">
        <v>21</v>
      </c>
      <c r="B339" s="231" t="s">
        <v>432</v>
      </c>
      <c r="C339" s="232"/>
      <c r="D339" s="233"/>
      <c r="R339" s="210" t="s">
        <v>446</v>
      </c>
      <c r="S339" s="211"/>
      <c r="T339" s="211"/>
      <c r="U339" s="211"/>
      <c r="V339" s="211"/>
      <c r="W339" s="211"/>
      <c r="X339" s="211"/>
      <c r="Y339" s="212"/>
    </row>
    <row r="340" spans="1:25" ht="48" customHeight="1" x14ac:dyDescent="0.25">
      <c r="A340" s="38">
        <v>22</v>
      </c>
      <c r="B340" s="231" t="s">
        <v>433</v>
      </c>
      <c r="C340" s="232"/>
      <c r="D340" s="233"/>
      <c r="R340" s="213" t="s">
        <v>446</v>
      </c>
      <c r="S340" s="214"/>
      <c r="T340" s="214"/>
      <c r="U340" s="214"/>
      <c r="V340" s="214"/>
      <c r="W340" s="214"/>
      <c r="X340" s="214"/>
      <c r="Y340" s="215"/>
    </row>
    <row r="341" spans="1:25" ht="54.75" customHeight="1" x14ac:dyDescent="0.25">
      <c r="A341" s="38">
        <v>23</v>
      </c>
      <c r="B341" s="231" t="s">
        <v>434</v>
      </c>
      <c r="C341" s="232"/>
      <c r="D341" s="233"/>
      <c r="R341" s="216"/>
      <c r="S341" s="217"/>
      <c r="T341" s="217"/>
      <c r="U341" s="217"/>
      <c r="V341" s="217"/>
      <c r="W341" s="217"/>
      <c r="X341" s="217"/>
      <c r="Y341" s="218"/>
    </row>
    <row r="342" spans="1:25" ht="15.75" x14ac:dyDescent="0.25">
      <c r="A342" s="40"/>
      <c r="B342" s="41" t="s">
        <v>435</v>
      </c>
      <c r="C342" s="42"/>
      <c r="D342" s="42"/>
    </row>
    <row r="343" spans="1:25" x14ac:dyDescent="0.25">
      <c r="A343" s="43">
        <v>1</v>
      </c>
      <c r="B343" s="41" t="s">
        <v>436</v>
      </c>
      <c r="C343" s="44"/>
      <c r="D343" s="45"/>
    </row>
    <row r="344" spans="1:25" x14ac:dyDescent="0.25">
      <c r="A344" s="43"/>
      <c r="B344" s="41"/>
      <c r="C344" s="44"/>
      <c r="D344" s="45"/>
    </row>
    <row r="345" spans="1:25" ht="18.75" x14ac:dyDescent="0.25">
      <c r="A345" s="46"/>
      <c r="B345" s="262" t="s">
        <v>437</v>
      </c>
      <c r="C345" s="262"/>
      <c r="D345" s="45"/>
      <c r="R345" s="209" t="s">
        <v>440</v>
      </c>
      <c r="S345" s="209"/>
      <c r="T345" s="209"/>
      <c r="U345" s="209"/>
      <c r="V345" s="209"/>
      <c r="W345" s="209"/>
      <c r="X345" s="209"/>
      <c r="Y345" s="209"/>
    </row>
  </sheetData>
  <sheetProtection selectLockedCells="1" autoFilter="0"/>
  <autoFilter ref="B1:B345" xr:uid="{00000000-0009-0000-0000-000000000000}"/>
  <mergeCells count="113">
    <mergeCell ref="B333:D333"/>
    <mergeCell ref="B345:C345"/>
    <mergeCell ref="B338:D338"/>
    <mergeCell ref="B337:D337"/>
    <mergeCell ref="B336:D336"/>
    <mergeCell ref="B341:D341"/>
    <mergeCell ref="B340:D340"/>
    <mergeCell ref="B339:D339"/>
    <mergeCell ref="B335:D335"/>
    <mergeCell ref="B334:D334"/>
    <mergeCell ref="B318:C318"/>
    <mergeCell ref="J5:J7"/>
    <mergeCell ref="G265:H265"/>
    <mergeCell ref="G266:H266"/>
    <mergeCell ref="G267:H267"/>
    <mergeCell ref="E265:F265"/>
    <mergeCell ref="B327:D327"/>
    <mergeCell ref="B332:D332"/>
    <mergeCell ref="B331:D331"/>
    <mergeCell ref="B330:C330"/>
    <mergeCell ref="B320:D320"/>
    <mergeCell ref="B323:D323"/>
    <mergeCell ref="B322:D322"/>
    <mergeCell ref="B321:D321"/>
    <mergeCell ref="B4:B7"/>
    <mergeCell ref="C4:C7"/>
    <mergeCell ref="B326:D326"/>
    <mergeCell ref="B325:D325"/>
    <mergeCell ref="B324:D324"/>
    <mergeCell ref="B329:D329"/>
    <mergeCell ref="B328:D328"/>
    <mergeCell ref="Q5:Q7"/>
    <mergeCell ref="N247:O247"/>
    <mergeCell ref="N249:O249"/>
    <mergeCell ref="N250:O250"/>
    <mergeCell ref="N251:O251"/>
    <mergeCell ref="N252:O252"/>
    <mergeCell ref="E264:F264"/>
    <mergeCell ref="G264:H264"/>
    <mergeCell ref="L264:M264"/>
    <mergeCell ref="E248:F248"/>
    <mergeCell ref="E249:F249"/>
    <mergeCell ref="E251:F251"/>
    <mergeCell ref="L265:M265"/>
    <mergeCell ref="E268:F268"/>
    <mergeCell ref="G268:H268"/>
    <mergeCell ref="L268:M268"/>
    <mergeCell ref="N268:O268"/>
    <mergeCell ref="G247:H247"/>
    <mergeCell ref="G249:H249"/>
    <mergeCell ref="E250:F250"/>
    <mergeCell ref="N264:O264"/>
    <mergeCell ref="L252:M252"/>
    <mergeCell ref="L266:M266"/>
    <mergeCell ref="L267:M267"/>
    <mergeCell ref="N265:O265"/>
    <mergeCell ref="N266:O266"/>
    <mergeCell ref="N267:O267"/>
    <mergeCell ref="E266:F266"/>
    <mergeCell ref="E267:F267"/>
    <mergeCell ref="G253:H253"/>
    <mergeCell ref="N253:O253"/>
    <mergeCell ref="L247:M247"/>
    <mergeCell ref="L248:M248"/>
    <mergeCell ref="L249:M249"/>
    <mergeCell ref="L250:M250"/>
    <mergeCell ref="L251:M251"/>
    <mergeCell ref="A1:Y1"/>
    <mergeCell ref="A2:Y2"/>
    <mergeCell ref="A3:Y3"/>
    <mergeCell ref="B319:D319"/>
    <mergeCell ref="R4:R7"/>
    <mergeCell ref="S4:Y5"/>
    <mergeCell ref="S6:U6"/>
    <mergeCell ref="V6:X6"/>
    <mergeCell ref="Y6:Y7"/>
    <mergeCell ref="E293:F293"/>
    <mergeCell ref="G293:H293"/>
    <mergeCell ref="L293:M293"/>
    <mergeCell ref="N293:O293"/>
    <mergeCell ref="E252:F252"/>
    <mergeCell ref="E253:F253"/>
    <mergeCell ref="G248:H248"/>
    <mergeCell ref="R319:Y319"/>
    <mergeCell ref="E247:F247"/>
    <mergeCell ref="L253:M253"/>
    <mergeCell ref="N248:O248"/>
    <mergeCell ref="G250:H250"/>
    <mergeCell ref="G251:H251"/>
    <mergeCell ref="G252:H252"/>
    <mergeCell ref="A4:A7"/>
    <mergeCell ref="R345:Y345"/>
    <mergeCell ref="R339:Y339"/>
    <mergeCell ref="R340:Y340"/>
    <mergeCell ref="R341:Y341"/>
    <mergeCell ref="R322:Y322"/>
    <mergeCell ref="R323:Y323"/>
    <mergeCell ref="R324:Y324"/>
    <mergeCell ref="R325:Y326"/>
    <mergeCell ref="R320:Y320"/>
    <mergeCell ref="R337:Y337"/>
    <mergeCell ref="R338:Y338"/>
    <mergeCell ref="R332:Y332"/>
    <mergeCell ref="R333:Y333"/>
    <mergeCell ref="R334:Y334"/>
    <mergeCell ref="R335:Y335"/>
    <mergeCell ref="R336:Y336"/>
    <mergeCell ref="R327:Y327"/>
    <mergeCell ref="R328:Y328"/>
    <mergeCell ref="R329:Y329"/>
    <mergeCell ref="R330:Y330"/>
    <mergeCell ref="R331:Y331"/>
    <mergeCell ref="R321:Y321"/>
  </mergeCells>
  <pageMargins left="0.70866141732283472" right="0.70866141732283472" top="0.35433070866141736" bottom="0.15748031496062992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56"/>
  <sheetViews>
    <sheetView tabSelected="1" zoomScale="55" zoomScaleNormal="55" zoomScaleSheetLayoutView="70" workbookViewId="0">
      <selection activeCell="A3" sqref="A3:AA3"/>
    </sheetView>
  </sheetViews>
  <sheetFormatPr defaultColWidth="9.140625" defaultRowHeight="15" outlineLevelRow="1" outlineLevelCol="1" x14ac:dyDescent="0.25"/>
  <cols>
    <col min="1" max="1" width="7.7109375" style="1" customWidth="1"/>
    <col min="2" max="2" width="54.85546875" style="1" customWidth="1"/>
    <col min="3" max="3" width="8" style="132" customWidth="1"/>
    <col min="4" max="14" width="9.42578125" style="132" customWidth="1" outlineLevel="1"/>
    <col min="15" max="19" width="9.140625" style="133" customWidth="1" outlineLevel="1"/>
    <col min="20" max="20" width="9.85546875" style="132" customWidth="1"/>
    <col min="21" max="22" width="13.85546875" style="1" customWidth="1"/>
    <col min="23" max="24" width="14.85546875" style="1" customWidth="1"/>
    <col min="25" max="26" width="16.28515625" style="1" customWidth="1"/>
    <col min="27" max="27" width="30.85546875" style="1" customWidth="1"/>
    <col min="28" max="16384" width="9.140625" style="1"/>
  </cols>
  <sheetData>
    <row r="1" spans="1:27" ht="36" customHeight="1" x14ac:dyDescent="0.25">
      <c r="A1" s="144"/>
      <c r="B1" s="155" t="s">
        <v>927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T1" s="133"/>
      <c r="U1" s="153"/>
      <c r="V1" s="153"/>
      <c r="W1" s="153"/>
      <c r="X1" s="153"/>
      <c r="Y1" s="153"/>
      <c r="Z1" s="153"/>
      <c r="AA1" s="153"/>
    </row>
    <row r="2" spans="1:27" ht="33" customHeight="1" x14ac:dyDescent="0.25">
      <c r="A2" s="278" t="s">
        <v>928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</row>
    <row r="3" spans="1:27" ht="79.900000000000006" customHeight="1" x14ac:dyDescent="0.25">
      <c r="A3" s="279" t="s">
        <v>924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ht="15" customHeight="1" x14ac:dyDescent="0.25">
      <c r="A4" s="280" t="s">
        <v>445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</row>
    <row r="5" spans="1:27" ht="15" customHeigh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ht="21.75" customHeight="1" x14ac:dyDescent="0.25">
      <c r="A6" s="281" t="s">
        <v>0</v>
      </c>
      <c r="B6" s="260" t="s">
        <v>1</v>
      </c>
      <c r="C6" s="282" t="s">
        <v>2</v>
      </c>
      <c r="D6" s="274" t="s">
        <v>721</v>
      </c>
      <c r="E6" s="274" t="s">
        <v>720</v>
      </c>
      <c r="F6" s="274" t="s">
        <v>895</v>
      </c>
      <c r="G6" s="274" t="s">
        <v>896</v>
      </c>
      <c r="H6" s="274" t="s">
        <v>897</v>
      </c>
      <c r="I6" s="274" t="s">
        <v>898</v>
      </c>
      <c r="J6" s="274" t="s">
        <v>3</v>
      </c>
      <c r="K6" s="274" t="s">
        <v>4</v>
      </c>
      <c r="L6" s="274" t="s">
        <v>5</v>
      </c>
      <c r="M6" s="274" t="s">
        <v>6</v>
      </c>
      <c r="N6" s="274" t="s">
        <v>8</v>
      </c>
      <c r="O6" s="274" t="s">
        <v>9</v>
      </c>
      <c r="P6" s="274" t="s">
        <v>7</v>
      </c>
      <c r="Q6" s="274" t="s">
        <v>10</v>
      </c>
      <c r="R6" s="274" t="s">
        <v>11</v>
      </c>
      <c r="S6" s="274" t="s">
        <v>12</v>
      </c>
      <c r="T6" s="289" t="s">
        <v>660</v>
      </c>
      <c r="U6" s="283" t="s">
        <v>929</v>
      </c>
      <c r="V6" s="284"/>
      <c r="W6" s="284"/>
      <c r="X6" s="284"/>
      <c r="Y6" s="284"/>
      <c r="Z6" s="284"/>
      <c r="AA6" s="284"/>
    </row>
    <row r="7" spans="1:27" ht="18" customHeight="1" x14ac:dyDescent="0.25">
      <c r="A7" s="281"/>
      <c r="B7" s="260"/>
      <c r="C7" s="282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90"/>
      <c r="U7" s="283"/>
      <c r="V7" s="284"/>
      <c r="W7" s="284"/>
      <c r="X7" s="284"/>
      <c r="Y7" s="284"/>
      <c r="Z7" s="284"/>
      <c r="AA7" s="284"/>
    </row>
    <row r="8" spans="1:27" ht="35.450000000000003" customHeight="1" x14ac:dyDescent="0.25">
      <c r="A8" s="281"/>
      <c r="B8" s="260"/>
      <c r="C8" s="282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90"/>
      <c r="U8" s="285" t="s">
        <v>409</v>
      </c>
      <c r="V8" s="286"/>
      <c r="W8" s="286"/>
      <c r="X8" s="287" t="s">
        <v>410</v>
      </c>
      <c r="Y8" s="287"/>
      <c r="Z8" s="287"/>
      <c r="AA8" s="288" t="s">
        <v>411</v>
      </c>
    </row>
    <row r="9" spans="1:27" ht="15.75" x14ac:dyDescent="0.25">
      <c r="A9" s="281"/>
      <c r="B9" s="260"/>
      <c r="C9" s="282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91"/>
      <c r="U9" s="203" t="s">
        <v>412</v>
      </c>
      <c r="V9" s="204" t="s">
        <v>413</v>
      </c>
      <c r="W9" s="204" t="s">
        <v>414</v>
      </c>
      <c r="X9" s="204" t="s">
        <v>412</v>
      </c>
      <c r="Y9" s="204" t="s">
        <v>413</v>
      </c>
      <c r="Z9" s="204" t="s">
        <v>414</v>
      </c>
      <c r="AA9" s="288"/>
    </row>
    <row r="10" spans="1:27" ht="15.75" x14ac:dyDescent="0.25">
      <c r="A10" s="156"/>
      <c r="B10" s="5" t="s">
        <v>909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159"/>
      <c r="W10" s="159"/>
      <c r="X10" s="159"/>
      <c r="Y10" s="159"/>
      <c r="Z10" s="159"/>
      <c r="AA10" s="8"/>
    </row>
    <row r="11" spans="1:27" s="130" customFormat="1" ht="21" customHeight="1" x14ac:dyDescent="0.25">
      <c r="A11" s="160" t="s">
        <v>17</v>
      </c>
      <c r="B11" s="161" t="s">
        <v>621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V11" s="164"/>
      <c r="W11" s="164"/>
      <c r="X11" s="165">
        <f>SUBTOTAL(9,X12:X32)</f>
        <v>0</v>
      </c>
      <c r="Y11" s="165">
        <f>SUBTOTAL(9,Y12:Y32)</f>
        <v>0</v>
      </c>
      <c r="Z11" s="165">
        <f>SUBTOTAL(9,Z12:Z32)</f>
        <v>0</v>
      </c>
      <c r="AA11" s="134"/>
    </row>
    <row r="12" spans="1:27" ht="31.5" outlineLevel="1" x14ac:dyDescent="0.25">
      <c r="A12" s="166" t="s">
        <v>19</v>
      </c>
      <c r="B12" s="167" t="s">
        <v>710</v>
      </c>
      <c r="C12" s="168" t="s">
        <v>21</v>
      </c>
      <c r="D12" s="168">
        <v>0.36</v>
      </c>
      <c r="E12" s="168">
        <v>0</v>
      </c>
      <c r="F12" s="168"/>
      <c r="G12" s="168"/>
      <c r="H12" s="168"/>
      <c r="I12" s="168">
        <v>0.1</v>
      </c>
      <c r="J12" s="168"/>
      <c r="K12" s="168"/>
      <c r="L12" s="168"/>
      <c r="M12" s="168"/>
      <c r="N12" s="168">
        <v>0</v>
      </c>
      <c r="O12" s="168">
        <v>0.66</v>
      </c>
      <c r="P12" s="168">
        <v>0</v>
      </c>
      <c r="Q12" s="168">
        <v>0</v>
      </c>
      <c r="R12" s="168">
        <v>2.25</v>
      </c>
      <c r="S12" s="168">
        <v>0.49</v>
      </c>
      <c r="T12" s="169">
        <f>SUM(D12:S12)</f>
        <v>3.8600000000000003</v>
      </c>
      <c r="U12" s="170">
        <v>0</v>
      </c>
      <c r="V12" s="170">
        <v>0</v>
      </c>
      <c r="W12" s="171">
        <f>V12+U12</f>
        <v>0</v>
      </c>
      <c r="X12" s="171">
        <f>$T12*U12</f>
        <v>0</v>
      </c>
      <c r="Y12" s="171">
        <f t="shared" ref="Y12" si="0">$T12*V12</f>
        <v>0</v>
      </c>
      <c r="Z12" s="171">
        <f t="shared" ref="Z12" si="1">Y12+X12</f>
        <v>0</v>
      </c>
      <c r="AA12" s="135"/>
    </row>
    <row r="13" spans="1:27" ht="31.5" outlineLevel="1" x14ac:dyDescent="0.25">
      <c r="A13" s="166" t="s">
        <v>22</v>
      </c>
      <c r="B13" s="167" t="s">
        <v>709</v>
      </c>
      <c r="C13" s="168" t="s">
        <v>21</v>
      </c>
      <c r="D13" s="168">
        <v>0</v>
      </c>
      <c r="E13" s="168">
        <v>0</v>
      </c>
      <c r="F13" s="168"/>
      <c r="G13" s="168"/>
      <c r="H13" s="168"/>
      <c r="I13" s="168"/>
      <c r="J13" s="168"/>
      <c r="K13" s="168">
        <v>0.06</v>
      </c>
      <c r="L13" s="168"/>
      <c r="M13" s="168"/>
      <c r="N13" s="168">
        <v>0</v>
      </c>
      <c r="O13" s="168">
        <v>0</v>
      </c>
      <c r="P13" s="168">
        <v>1.72</v>
      </c>
      <c r="Q13" s="168">
        <v>0</v>
      </c>
      <c r="R13" s="168">
        <v>0</v>
      </c>
      <c r="S13" s="168">
        <v>1.1499999999999999</v>
      </c>
      <c r="T13" s="169">
        <f t="shared" ref="T13:T72" si="2">SUM(D13:S13)</f>
        <v>2.9299999999999997</v>
      </c>
      <c r="U13" s="170">
        <v>0</v>
      </c>
      <c r="V13" s="170">
        <v>0</v>
      </c>
      <c r="W13" s="171">
        <f t="shared" ref="W13:W32" si="3">V13+U13</f>
        <v>0</v>
      </c>
      <c r="X13" s="171">
        <f t="shared" ref="X13:X32" si="4">$T13*U13</f>
        <v>0</v>
      </c>
      <c r="Y13" s="171">
        <f t="shared" ref="Y13:Y32" si="5">$T13*V13</f>
        <v>0</v>
      </c>
      <c r="Z13" s="171">
        <f t="shared" ref="Z13:Z32" si="6">Y13+X13</f>
        <v>0</v>
      </c>
      <c r="AA13" s="135"/>
    </row>
    <row r="14" spans="1:27" ht="31.5" outlineLevel="1" x14ac:dyDescent="0.25">
      <c r="A14" s="166" t="s">
        <v>24</v>
      </c>
      <c r="B14" s="167" t="s">
        <v>803</v>
      </c>
      <c r="C14" s="168" t="s">
        <v>21</v>
      </c>
      <c r="D14" s="168">
        <v>0</v>
      </c>
      <c r="E14" s="168">
        <v>0</v>
      </c>
      <c r="F14" s="168"/>
      <c r="G14" s="168"/>
      <c r="H14" s="168"/>
      <c r="I14" s="168"/>
      <c r="J14" s="168"/>
      <c r="K14" s="168"/>
      <c r="L14" s="168"/>
      <c r="M14" s="168"/>
      <c r="N14" s="168">
        <v>0</v>
      </c>
      <c r="O14" s="168">
        <v>0</v>
      </c>
      <c r="P14" s="168">
        <v>1.28</v>
      </c>
      <c r="Q14" s="168">
        <v>0</v>
      </c>
      <c r="R14" s="168">
        <v>0</v>
      </c>
      <c r="S14" s="168">
        <v>0</v>
      </c>
      <c r="T14" s="169">
        <f t="shared" si="2"/>
        <v>1.28</v>
      </c>
      <c r="U14" s="170">
        <v>0</v>
      </c>
      <c r="V14" s="170">
        <v>0</v>
      </c>
      <c r="W14" s="171">
        <f t="shared" si="3"/>
        <v>0</v>
      </c>
      <c r="X14" s="171">
        <f t="shared" si="4"/>
        <v>0</v>
      </c>
      <c r="Y14" s="171">
        <f t="shared" si="5"/>
        <v>0</v>
      </c>
      <c r="Z14" s="171">
        <f t="shared" si="6"/>
        <v>0</v>
      </c>
      <c r="AA14" s="135"/>
    </row>
    <row r="15" spans="1:27" ht="31.5" outlineLevel="1" x14ac:dyDescent="0.25">
      <c r="A15" s="166" t="s">
        <v>26</v>
      </c>
      <c r="B15" s="167" t="s">
        <v>804</v>
      </c>
      <c r="C15" s="168" t="s">
        <v>21</v>
      </c>
      <c r="D15" s="168">
        <v>0</v>
      </c>
      <c r="E15" s="168">
        <v>0</v>
      </c>
      <c r="F15" s="168"/>
      <c r="G15" s="168"/>
      <c r="H15" s="168"/>
      <c r="I15" s="168"/>
      <c r="J15" s="168"/>
      <c r="K15" s="168"/>
      <c r="L15" s="168"/>
      <c r="M15" s="168"/>
      <c r="N15" s="168">
        <v>0</v>
      </c>
      <c r="O15" s="168">
        <v>0</v>
      </c>
      <c r="P15" s="168">
        <v>0.72</v>
      </c>
      <c r="Q15" s="168">
        <v>0</v>
      </c>
      <c r="R15" s="168">
        <v>0</v>
      </c>
      <c r="S15" s="168">
        <v>0</v>
      </c>
      <c r="T15" s="169">
        <f t="shared" si="2"/>
        <v>0.72</v>
      </c>
      <c r="U15" s="170">
        <v>0</v>
      </c>
      <c r="V15" s="170">
        <v>0</v>
      </c>
      <c r="W15" s="171">
        <f t="shared" si="3"/>
        <v>0</v>
      </c>
      <c r="X15" s="171">
        <f t="shared" si="4"/>
        <v>0</v>
      </c>
      <c r="Y15" s="171">
        <f t="shared" si="5"/>
        <v>0</v>
      </c>
      <c r="Z15" s="171">
        <f t="shared" si="6"/>
        <v>0</v>
      </c>
      <c r="AA15" s="135"/>
    </row>
    <row r="16" spans="1:27" ht="31.5" outlineLevel="1" x14ac:dyDescent="0.25">
      <c r="A16" s="166" t="s">
        <v>28</v>
      </c>
      <c r="B16" s="167" t="s">
        <v>711</v>
      </c>
      <c r="C16" s="168" t="s">
        <v>21</v>
      </c>
      <c r="D16" s="168">
        <v>0.22</v>
      </c>
      <c r="E16" s="168">
        <v>0</v>
      </c>
      <c r="F16" s="168"/>
      <c r="G16" s="168">
        <v>0.26</v>
      </c>
      <c r="H16" s="168">
        <v>0.35</v>
      </c>
      <c r="I16" s="168">
        <v>1.38</v>
      </c>
      <c r="J16" s="168">
        <v>1.46</v>
      </c>
      <c r="K16" s="168">
        <v>2.5</v>
      </c>
      <c r="L16" s="168">
        <f>0.04</f>
        <v>0.04</v>
      </c>
      <c r="M16" s="168">
        <f>0.23</f>
        <v>0.23</v>
      </c>
      <c r="N16" s="168">
        <v>2.71</v>
      </c>
      <c r="O16" s="168">
        <v>2.35</v>
      </c>
      <c r="P16" s="168">
        <v>0</v>
      </c>
      <c r="Q16" s="168">
        <v>0</v>
      </c>
      <c r="R16" s="168">
        <v>0</v>
      </c>
      <c r="S16" s="168">
        <v>0</v>
      </c>
      <c r="T16" s="169">
        <f t="shared" si="2"/>
        <v>11.5</v>
      </c>
      <c r="U16" s="170">
        <v>0</v>
      </c>
      <c r="V16" s="170">
        <v>0</v>
      </c>
      <c r="W16" s="171">
        <f t="shared" si="3"/>
        <v>0</v>
      </c>
      <c r="X16" s="171">
        <f t="shared" si="4"/>
        <v>0</v>
      </c>
      <c r="Y16" s="171">
        <f t="shared" si="5"/>
        <v>0</v>
      </c>
      <c r="Z16" s="171">
        <f t="shared" si="6"/>
        <v>0</v>
      </c>
      <c r="AA16" s="135"/>
    </row>
    <row r="17" spans="1:27" ht="31.5" outlineLevel="1" x14ac:dyDescent="0.25">
      <c r="A17" s="166" t="s">
        <v>30</v>
      </c>
      <c r="B17" s="167" t="s">
        <v>712</v>
      </c>
      <c r="C17" s="168" t="s">
        <v>21</v>
      </c>
      <c r="D17" s="168">
        <v>0.12</v>
      </c>
      <c r="E17" s="168">
        <v>0</v>
      </c>
      <c r="F17" s="168"/>
      <c r="G17" s="168"/>
      <c r="H17" s="168"/>
      <c r="I17" s="168"/>
      <c r="J17" s="168">
        <v>0.08</v>
      </c>
      <c r="K17" s="168">
        <v>1.1200000000000001</v>
      </c>
      <c r="L17" s="168">
        <f>0.1</f>
        <v>0.1</v>
      </c>
      <c r="M17" s="168"/>
      <c r="N17" s="168">
        <v>0</v>
      </c>
      <c r="O17" s="168">
        <v>0.15</v>
      </c>
      <c r="P17" s="168">
        <v>0</v>
      </c>
      <c r="Q17" s="168">
        <v>0</v>
      </c>
      <c r="R17" s="168">
        <v>0</v>
      </c>
      <c r="S17" s="168">
        <v>0</v>
      </c>
      <c r="T17" s="169">
        <f t="shared" si="2"/>
        <v>1.57</v>
      </c>
      <c r="U17" s="170">
        <v>0</v>
      </c>
      <c r="V17" s="170">
        <v>0</v>
      </c>
      <c r="W17" s="171">
        <f t="shared" si="3"/>
        <v>0</v>
      </c>
      <c r="X17" s="171">
        <f t="shared" si="4"/>
        <v>0</v>
      </c>
      <c r="Y17" s="171">
        <f t="shared" si="5"/>
        <v>0</v>
      </c>
      <c r="Z17" s="171">
        <f t="shared" si="6"/>
        <v>0</v>
      </c>
      <c r="AA17" s="135"/>
    </row>
    <row r="18" spans="1:27" ht="31.5" outlineLevel="1" x14ac:dyDescent="0.25">
      <c r="A18" s="166" t="s">
        <v>32</v>
      </c>
      <c r="B18" s="167" t="s">
        <v>713</v>
      </c>
      <c r="C18" s="168" t="s">
        <v>21</v>
      </c>
      <c r="D18" s="168">
        <v>1.1000000000000001</v>
      </c>
      <c r="E18" s="168">
        <v>0.69</v>
      </c>
      <c r="F18" s="168">
        <v>0</v>
      </c>
      <c r="G18" s="168">
        <v>0.03</v>
      </c>
      <c r="H18" s="168">
        <v>0.05</v>
      </c>
      <c r="I18" s="168">
        <v>0.56000000000000005</v>
      </c>
      <c r="J18" s="168">
        <v>0.79</v>
      </c>
      <c r="K18" s="168">
        <f>0.52+2.16</f>
        <v>2.68</v>
      </c>
      <c r="L18" s="168"/>
      <c r="M18" s="168">
        <f>0.05</f>
        <v>0.05</v>
      </c>
      <c r="N18" s="168">
        <v>0.25</v>
      </c>
      <c r="O18" s="168">
        <v>0.54</v>
      </c>
      <c r="P18" s="168">
        <v>0.97</v>
      </c>
      <c r="Q18" s="168">
        <v>1.1399999999999999</v>
      </c>
      <c r="R18" s="168">
        <v>0.26</v>
      </c>
      <c r="S18" s="168">
        <v>2.0099999999999998</v>
      </c>
      <c r="T18" s="169">
        <f t="shared" si="2"/>
        <v>11.12</v>
      </c>
      <c r="U18" s="170">
        <v>0</v>
      </c>
      <c r="V18" s="170">
        <v>0</v>
      </c>
      <c r="W18" s="171">
        <f t="shared" si="3"/>
        <v>0</v>
      </c>
      <c r="X18" s="171">
        <f t="shared" si="4"/>
        <v>0</v>
      </c>
      <c r="Y18" s="171">
        <f t="shared" si="5"/>
        <v>0</v>
      </c>
      <c r="Z18" s="171">
        <f t="shared" si="6"/>
        <v>0</v>
      </c>
      <c r="AA18" s="135"/>
    </row>
    <row r="19" spans="1:27" ht="31.5" outlineLevel="1" x14ac:dyDescent="0.25">
      <c r="A19" s="166" t="s">
        <v>34</v>
      </c>
      <c r="B19" s="167" t="s">
        <v>714</v>
      </c>
      <c r="C19" s="168" t="s">
        <v>21</v>
      </c>
      <c r="D19" s="168">
        <v>0.45</v>
      </c>
      <c r="E19" s="168">
        <v>0.74</v>
      </c>
      <c r="F19" s="168">
        <v>0</v>
      </c>
      <c r="G19" s="168">
        <f>0.04</f>
        <v>0.04</v>
      </c>
      <c r="H19" s="168"/>
      <c r="I19" s="168">
        <v>7.0000000000000007E-2</v>
      </c>
      <c r="J19" s="168"/>
      <c r="K19" s="168">
        <v>0.09</v>
      </c>
      <c r="L19" s="168">
        <f>1.34+1.74</f>
        <v>3.08</v>
      </c>
      <c r="M19" s="168">
        <f>1.13+1.12</f>
        <v>2.25</v>
      </c>
      <c r="N19" s="168">
        <v>0</v>
      </c>
      <c r="O19" s="168">
        <v>0</v>
      </c>
      <c r="P19" s="168">
        <v>0</v>
      </c>
      <c r="Q19" s="168">
        <v>0.54</v>
      </c>
      <c r="R19" s="168">
        <v>2.02</v>
      </c>
      <c r="S19" s="168">
        <v>0</v>
      </c>
      <c r="T19" s="169">
        <f t="shared" si="2"/>
        <v>9.2800000000000011</v>
      </c>
      <c r="U19" s="170">
        <v>0</v>
      </c>
      <c r="V19" s="170">
        <v>0</v>
      </c>
      <c r="W19" s="171">
        <f t="shared" si="3"/>
        <v>0</v>
      </c>
      <c r="X19" s="171">
        <f t="shared" si="4"/>
        <v>0</v>
      </c>
      <c r="Y19" s="171">
        <f t="shared" si="5"/>
        <v>0</v>
      </c>
      <c r="Z19" s="171">
        <f t="shared" si="6"/>
        <v>0</v>
      </c>
      <c r="AA19" s="135"/>
    </row>
    <row r="20" spans="1:27" ht="47.25" outlineLevel="1" x14ac:dyDescent="0.25">
      <c r="A20" s="166" t="s">
        <v>36</v>
      </c>
      <c r="B20" s="167" t="s">
        <v>37</v>
      </c>
      <c r="C20" s="168" t="s">
        <v>38</v>
      </c>
      <c r="D20" s="168">
        <f>D21+D25</f>
        <v>57.019999999999996</v>
      </c>
      <c r="E20" s="168">
        <f>SUM(E21:E24)</f>
        <v>102.02</v>
      </c>
      <c r="F20" s="168">
        <f t="shared" ref="F20:M20" si="7">SUM(F21:F32)</f>
        <v>67.8</v>
      </c>
      <c r="G20" s="168">
        <f t="shared" si="7"/>
        <v>57.669999999999995</v>
      </c>
      <c r="H20" s="168">
        <f t="shared" si="7"/>
        <v>68.209999999999994</v>
      </c>
      <c r="I20" s="168">
        <f t="shared" si="7"/>
        <v>47.15</v>
      </c>
      <c r="J20" s="168">
        <f t="shared" si="7"/>
        <v>40.800000000000004</v>
      </c>
      <c r="K20" s="168">
        <f t="shared" si="7"/>
        <v>76.25</v>
      </c>
      <c r="L20" s="168">
        <f t="shared" si="7"/>
        <v>70.97</v>
      </c>
      <c r="M20" s="168">
        <f t="shared" si="7"/>
        <v>63.16</v>
      </c>
      <c r="N20" s="168">
        <f>N21</f>
        <v>44.55</v>
      </c>
      <c r="O20" s="168">
        <f>O21+O24</f>
        <v>47.71</v>
      </c>
      <c r="P20" s="168">
        <f>P21</f>
        <v>57.8</v>
      </c>
      <c r="Q20" s="168">
        <f>SUM(Q21:Q32)</f>
        <v>44.11</v>
      </c>
      <c r="R20" s="168">
        <f>SUM(R21:R32)</f>
        <v>73.069999999999993</v>
      </c>
      <c r="S20" s="168">
        <f>S21+S24+S29</f>
        <v>45.489999999999995</v>
      </c>
      <c r="T20" s="169">
        <f t="shared" si="2"/>
        <v>963.78</v>
      </c>
      <c r="U20" s="170">
        <v>0</v>
      </c>
      <c r="V20" s="170">
        <v>0</v>
      </c>
      <c r="W20" s="171">
        <f t="shared" si="3"/>
        <v>0</v>
      </c>
      <c r="X20" s="171">
        <f t="shared" si="4"/>
        <v>0</v>
      </c>
      <c r="Y20" s="171">
        <f t="shared" si="5"/>
        <v>0</v>
      </c>
      <c r="Z20" s="171">
        <f t="shared" si="6"/>
        <v>0</v>
      </c>
      <c r="AA20" s="135"/>
    </row>
    <row r="21" spans="1:27" ht="94.5" outlineLevel="1" x14ac:dyDescent="0.25">
      <c r="A21" s="166" t="s">
        <v>39</v>
      </c>
      <c r="B21" s="167" t="s">
        <v>40</v>
      </c>
      <c r="C21" s="168" t="s">
        <v>38</v>
      </c>
      <c r="D21" s="168">
        <v>46.25</v>
      </c>
      <c r="E21" s="168">
        <f>36.8+23.27+2.9+2.29</f>
        <v>65.259999999999991</v>
      </c>
      <c r="F21" s="168">
        <v>67.8</v>
      </c>
      <c r="G21" s="168">
        <v>35.57</v>
      </c>
      <c r="H21" s="168">
        <f>39.01+24.48</f>
        <v>63.489999999999995</v>
      </c>
      <c r="I21" s="172">
        <f>30.5</f>
        <v>30.5</v>
      </c>
      <c r="J21" s="168">
        <v>37.340000000000003</v>
      </c>
      <c r="K21" s="168">
        <f>51.74+21.59</f>
        <v>73.33</v>
      </c>
      <c r="L21" s="168">
        <f>37.96+31.14</f>
        <v>69.099999999999994</v>
      </c>
      <c r="M21" s="168">
        <f>30.07+22.59</f>
        <v>52.66</v>
      </c>
      <c r="N21" s="168">
        <v>44.55</v>
      </c>
      <c r="O21" s="172">
        <v>46.96</v>
      </c>
      <c r="P21" s="168">
        <v>57.8</v>
      </c>
      <c r="Q21" s="168">
        <v>32.19</v>
      </c>
      <c r="R21" s="168">
        <f>40.78+23.66</f>
        <v>64.44</v>
      </c>
      <c r="S21" s="168">
        <v>42.23</v>
      </c>
      <c r="T21" s="169">
        <f t="shared" si="2"/>
        <v>829.47</v>
      </c>
      <c r="U21" s="170">
        <v>0</v>
      </c>
      <c r="V21" s="170">
        <v>0</v>
      </c>
      <c r="W21" s="171">
        <f t="shared" si="3"/>
        <v>0</v>
      </c>
      <c r="X21" s="171">
        <f t="shared" si="4"/>
        <v>0</v>
      </c>
      <c r="Y21" s="171">
        <f t="shared" si="5"/>
        <v>0</v>
      </c>
      <c r="Z21" s="171">
        <f t="shared" si="6"/>
        <v>0</v>
      </c>
      <c r="AA21" s="135"/>
    </row>
    <row r="22" spans="1:27" ht="94.5" outlineLevel="1" x14ac:dyDescent="0.25">
      <c r="A22" s="166" t="s">
        <v>41</v>
      </c>
      <c r="B22" s="167" t="s">
        <v>813</v>
      </c>
      <c r="C22" s="168" t="s">
        <v>38</v>
      </c>
      <c r="D22" s="168">
        <v>0</v>
      </c>
      <c r="E22" s="168">
        <v>0</v>
      </c>
      <c r="F22" s="168"/>
      <c r="G22" s="168"/>
      <c r="H22" s="168"/>
      <c r="I22" s="168"/>
      <c r="J22" s="168"/>
      <c r="K22" s="168"/>
      <c r="L22" s="168"/>
      <c r="M22" s="168"/>
      <c r="N22" s="168">
        <v>0</v>
      </c>
      <c r="O22" s="172">
        <v>0</v>
      </c>
      <c r="P22" s="168">
        <v>0</v>
      </c>
      <c r="Q22" s="168">
        <v>2.92</v>
      </c>
      <c r="R22" s="168">
        <v>2.39</v>
      </c>
      <c r="S22" s="168">
        <v>0</v>
      </c>
      <c r="T22" s="169">
        <f t="shared" si="2"/>
        <v>5.3100000000000005</v>
      </c>
      <c r="U22" s="170">
        <v>0</v>
      </c>
      <c r="V22" s="170">
        <v>0</v>
      </c>
      <c r="W22" s="171">
        <f t="shared" si="3"/>
        <v>0</v>
      </c>
      <c r="X22" s="171">
        <f t="shared" si="4"/>
        <v>0</v>
      </c>
      <c r="Y22" s="171">
        <f t="shared" si="5"/>
        <v>0</v>
      </c>
      <c r="Z22" s="171">
        <f t="shared" si="6"/>
        <v>0</v>
      </c>
      <c r="AA22" s="135"/>
    </row>
    <row r="23" spans="1:27" ht="94.5" outlineLevel="1" x14ac:dyDescent="0.25">
      <c r="A23" s="166" t="s">
        <v>43</v>
      </c>
      <c r="B23" s="167" t="s">
        <v>754</v>
      </c>
      <c r="C23" s="168" t="s">
        <v>38</v>
      </c>
      <c r="D23" s="168">
        <v>0</v>
      </c>
      <c r="E23" s="168">
        <f>4.69+24.42</f>
        <v>29.110000000000003</v>
      </c>
      <c r="F23" s="168"/>
      <c r="G23" s="168"/>
      <c r="H23" s="168"/>
      <c r="I23" s="168"/>
      <c r="J23" s="168"/>
      <c r="K23" s="168"/>
      <c r="L23" s="168"/>
      <c r="M23" s="168"/>
      <c r="N23" s="168">
        <v>0</v>
      </c>
      <c r="O23" s="172">
        <v>0</v>
      </c>
      <c r="P23" s="168">
        <v>0</v>
      </c>
      <c r="Q23" s="168">
        <v>0</v>
      </c>
      <c r="R23" s="168">
        <v>0</v>
      </c>
      <c r="S23" s="168">
        <v>0</v>
      </c>
      <c r="T23" s="169">
        <f t="shared" si="2"/>
        <v>29.110000000000003</v>
      </c>
      <c r="U23" s="170">
        <v>0</v>
      </c>
      <c r="V23" s="170">
        <v>0</v>
      </c>
      <c r="W23" s="171">
        <f t="shared" si="3"/>
        <v>0</v>
      </c>
      <c r="X23" s="171">
        <f t="shared" si="4"/>
        <v>0</v>
      </c>
      <c r="Y23" s="171">
        <f t="shared" si="5"/>
        <v>0</v>
      </c>
      <c r="Z23" s="171">
        <f t="shared" si="6"/>
        <v>0</v>
      </c>
      <c r="AA23" s="135"/>
    </row>
    <row r="24" spans="1:27" ht="94.5" outlineLevel="1" x14ac:dyDescent="0.25">
      <c r="A24" s="166" t="s">
        <v>45</v>
      </c>
      <c r="B24" s="167" t="s">
        <v>42</v>
      </c>
      <c r="C24" s="168" t="s">
        <v>38</v>
      </c>
      <c r="D24" s="168">
        <v>0</v>
      </c>
      <c r="E24" s="168">
        <f>5.46+2.19</f>
        <v>7.65</v>
      </c>
      <c r="F24" s="168"/>
      <c r="G24" s="168"/>
      <c r="H24" s="168"/>
      <c r="I24" s="168">
        <v>15.27</v>
      </c>
      <c r="J24" s="168">
        <v>3.46</v>
      </c>
      <c r="K24" s="168">
        <v>2.92</v>
      </c>
      <c r="L24" s="168"/>
      <c r="M24" s="168">
        <f>2.76</f>
        <v>2.76</v>
      </c>
      <c r="N24" s="168">
        <v>0</v>
      </c>
      <c r="O24" s="172">
        <v>0.75</v>
      </c>
      <c r="P24" s="168">
        <v>0</v>
      </c>
      <c r="Q24" s="168">
        <v>2.38</v>
      </c>
      <c r="R24" s="168">
        <v>6.24</v>
      </c>
      <c r="S24" s="168">
        <v>2.89</v>
      </c>
      <c r="T24" s="169">
        <f t="shared" si="2"/>
        <v>44.320000000000007</v>
      </c>
      <c r="U24" s="170">
        <v>0</v>
      </c>
      <c r="V24" s="170">
        <v>0</v>
      </c>
      <c r="W24" s="171">
        <f t="shared" si="3"/>
        <v>0</v>
      </c>
      <c r="X24" s="171">
        <f t="shared" si="4"/>
        <v>0</v>
      </c>
      <c r="Y24" s="171">
        <f t="shared" si="5"/>
        <v>0</v>
      </c>
      <c r="Z24" s="171">
        <f t="shared" si="6"/>
        <v>0</v>
      </c>
      <c r="AA24" s="135"/>
    </row>
    <row r="25" spans="1:27" ht="94.5" outlineLevel="1" x14ac:dyDescent="0.25">
      <c r="A25" s="166" t="s">
        <v>47</v>
      </c>
      <c r="B25" s="167" t="s">
        <v>724</v>
      </c>
      <c r="C25" s="168" t="s">
        <v>38</v>
      </c>
      <c r="D25" s="168">
        <v>10.77</v>
      </c>
      <c r="E25" s="168">
        <v>0</v>
      </c>
      <c r="F25" s="168"/>
      <c r="G25" s="168"/>
      <c r="H25" s="168"/>
      <c r="I25" s="168"/>
      <c r="J25" s="168"/>
      <c r="K25" s="168"/>
      <c r="L25" s="168"/>
      <c r="M25" s="168"/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9">
        <f t="shared" si="2"/>
        <v>10.77</v>
      </c>
      <c r="U25" s="170">
        <v>0</v>
      </c>
      <c r="V25" s="170">
        <v>0</v>
      </c>
      <c r="W25" s="171">
        <f t="shared" si="3"/>
        <v>0</v>
      </c>
      <c r="X25" s="171">
        <f t="shared" si="4"/>
        <v>0</v>
      </c>
      <c r="Y25" s="171">
        <f t="shared" si="5"/>
        <v>0</v>
      </c>
      <c r="Z25" s="171">
        <f t="shared" si="6"/>
        <v>0</v>
      </c>
      <c r="AA25" s="135"/>
    </row>
    <row r="26" spans="1:27" ht="94.5" outlineLevel="1" x14ac:dyDescent="0.25">
      <c r="A26" s="166" t="s">
        <v>49</v>
      </c>
      <c r="B26" s="167" t="s">
        <v>46</v>
      </c>
      <c r="C26" s="168" t="s">
        <v>38</v>
      </c>
      <c r="D26" s="168">
        <v>0</v>
      </c>
      <c r="E26" s="168">
        <v>0</v>
      </c>
      <c r="F26" s="168"/>
      <c r="G26" s="168">
        <v>0.19</v>
      </c>
      <c r="H26" s="168">
        <v>4.72</v>
      </c>
      <c r="I26" s="168">
        <v>1.38</v>
      </c>
      <c r="J26" s="168"/>
      <c r="K26" s="168"/>
      <c r="L26" s="168"/>
      <c r="M26" s="168"/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9">
        <f t="shared" si="2"/>
        <v>6.29</v>
      </c>
      <c r="U26" s="170">
        <v>0</v>
      </c>
      <c r="V26" s="170">
        <v>0</v>
      </c>
      <c r="W26" s="171">
        <f t="shared" si="3"/>
        <v>0</v>
      </c>
      <c r="X26" s="171">
        <f t="shared" si="4"/>
        <v>0</v>
      </c>
      <c r="Y26" s="171">
        <f t="shared" si="5"/>
        <v>0</v>
      </c>
      <c r="Z26" s="171">
        <f t="shared" si="6"/>
        <v>0</v>
      </c>
      <c r="AA26" s="135"/>
    </row>
    <row r="27" spans="1:27" ht="94.5" outlineLevel="1" x14ac:dyDescent="0.25">
      <c r="A27" s="166" t="s">
        <v>51</v>
      </c>
      <c r="B27" s="167" t="s">
        <v>52</v>
      </c>
      <c r="C27" s="168" t="s">
        <v>38</v>
      </c>
      <c r="D27" s="168">
        <v>0</v>
      </c>
      <c r="E27" s="168">
        <v>0</v>
      </c>
      <c r="F27" s="168"/>
      <c r="G27" s="168">
        <v>9.2200000000000006</v>
      </c>
      <c r="H27" s="168"/>
      <c r="I27" s="168"/>
      <c r="J27" s="168"/>
      <c r="K27" s="168"/>
      <c r="L27" s="168"/>
      <c r="M27" s="168"/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9">
        <f t="shared" si="2"/>
        <v>9.2200000000000006</v>
      </c>
      <c r="U27" s="170">
        <v>0</v>
      </c>
      <c r="V27" s="170">
        <v>0</v>
      </c>
      <c r="W27" s="171">
        <f t="shared" si="3"/>
        <v>0</v>
      </c>
      <c r="X27" s="171">
        <f t="shared" si="4"/>
        <v>0</v>
      </c>
      <c r="Y27" s="171">
        <f t="shared" si="5"/>
        <v>0</v>
      </c>
      <c r="Z27" s="171">
        <f t="shared" si="6"/>
        <v>0</v>
      </c>
      <c r="AA27" s="135"/>
    </row>
    <row r="28" spans="1:27" ht="94.5" outlineLevel="1" x14ac:dyDescent="0.25">
      <c r="A28" s="166" t="s">
        <v>53</v>
      </c>
      <c r="B28" s="167" t="s">
        <v>56</v>
      </c>
      <c r="C28" s="168" t="s">
        <v>38</v>
      </c>
      <c r="D28" s="168">
        <v>0</v>
      </c>
      <c r="E28" s="168">
        <v>0</v>
      </c>
      <c r="F28" s="168"/>
      <c r="G28" s="168"/>
      <c r="H28" s="168"/>
      <c r="I28" s="168"/>
      <c r="J28" s="168"/>
      <c r="K28" s="168"/>
      <c r="L28" s="168"/>
      <c r="M28" s="168">
        <v>3.42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9">
        <f t="shared" si="2"/>
        <v>3.42</v>
      </c>
      <c r="U28" s="170">
        <v>0</v>
      </c>
      <c r="V28" s="170">
        <v>0</v>
      </c>
      <c r="W28" s="171">
        <f t="shared" si="3"/>
        <v>0</v>
      </c>
      <c r="X28" s="171">
        <f t="shared" si="4"/>
        <v>0</v>
      </c>
      <c r="Y28" s="171">
        <f t="shared" si="5"/>
        <v>0</v>
      </c>
      <c r="Z28" s="171">
        <f t="shared" si="6"/>
        <v>0</v>
      </c>
      <c r="AA28" s="135"/>
    </row>
    <row r="29" spans="1:27" ht="94.5" outlineLevel="1" x14ac:dyDescent="0.25">
      <c r="A29" s="166" t="s">
        <v>55</v>
      </c>
      <c r="B29" s="167" t="s">
        <v>48</v>
      </c>
      <c r="C29" s="168" t="s">
        <v>38</v>
      </c>
      <c r="D29" s="168">
        <v>0</v>
      </c>
      <c r="E29" s="168">
        <v>0</v>
      </c>
      <c r="F29" s="168"/>
      <c r="G29" s="168"/>
      <c r="H29" s="168"/>
      <c r="I29" s="168"/>
      <c r="J29" s="168"/>
      <c r="K29" s="168"/>
      <c r="L29" s="168"/>
      <c r="M29" s="168"/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0.37</v>
      </c>
      <c r="T29" s="169">
        <f t="shared" si="2"/>
        <v>0.37</v>
      </c>
      <c r="U29" s="170">
        <v>0</v>
      </c>
      <c r="V29" s="170">
        <v>0</v>
      </c>
      <c r="W29" s="171">
        <f t="shared" si="3"/>
        <v>0</v>
      </c>
      <c r="X29" s="171">
        <f t="shared" si="4"/>
        <v>0</v>
      </c>
      <c r="Y29" s="171">
        <f t="shared" si="5"/>
        <v>0</v>
      </c>
      <c r="Z29" s="171">
        <f t="shared" si="6"/>
        <v>0</v>
      </c>
      <c r="AA29" s="135"/>
    </row>
    <row r="30" spans="1:27" ht="94.5" outlineLevel="1" x14ac:dyDescent="0.25">
      <c r="A30" s="166" t="s">
        <v>833</v>
      </c>
      <c r="B30" s="167" t="s">
        <v>679</v>
      </c>
      <c r="C30" s="168" t="s">
        <v>38</v>
      </c>
      <c r="D30" s="168">
        <v>0</v>
      </c>
      <c r="E30" s="168">
        <v>0</v>
      </c>
      <c r="F30" s="168"/>
      <c r="G30" s="168"/>
      <c r="H30" s="168"/>
      <c r="I30" s="168"/>
      <c r="J30" s="168"/>
      <c r="K30" s="168"/>
      <c r="L30" s="168">
        <v>1.87</v>
      </c>
      <c r="M30" s="168"/>
      <c r="N30" s="168">
        <v>0</v>
      </c>
      <c r="O30" s="168">
        <v>0</v>
      </c>
      <c r="P30" s="168">
        <v>0</v>
      </c>
      <c r="Q30" s="168">
        <v>6.62</v>
      </c>
      <c r="R30" s="168">
        <v>0</v>
      </c>
      <c r="S30" s="168">
        <v>0</v>
      </c>
      <c r="T30" s="169">
        <f t="shared" si="2"/>
        <v>8.49</v>
      </c>
      <c r="U30" s="170">
        <v>0</v>
      </c>
      <c r="V30" s="170">
        <v>0</v>
      </c>
      <c r="W30" s="171">
        <f t="shared" si="3"/>
        <v>0</v>
      </c>
      <c r="X30" s="171">
        <f t="shared" si="4"/>
        <v>0</v>
      </c>
      <c r="Y30" s="171">
        <f t="shared" si="5"/>
        <v>0</v>
      </c>
      <c r="Z30" s="171">
        <f t="shared" si="6"/>
        <v>0</v>
      </c>
      <c r="AA30" s="135"/>
    </row>
    <row r="31" spans="1:27" ht="94.5" outlineLevel="1" x14ac:dyDescent="0.25">
      <c r="A31" s="166" t="s">
        <v>834</v>
      </c>
      <c r="B31" s="167" t="s">
        <v>680</v>
      </c>
      <c r="C31" s="168" t="s">
        <v>38</v>
      </c>
      <c r="D31" s="168">
        <v>0</v>
      </c>
      <c r="E31" s="168">
        <v>0</v>
      </c>
      <c r="F31" s="168"/>
      <c r="G31" s="168"/>
      <c r="H31" s="168"/>
      <c r="I31" s="168"/>
      <c r="J31" s="168"/>
      <c r="K31" s="168"/>
      <c r="L31" s="168"/>
      <c r="M31" s="168">
        <f>4.32</f>
        <v>4.32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9">
        <f t="shared" si="2"/>
        <v>4.32</v>
      </c>
      <c r="U31" s="170">
        <v>0</v>
      </c>
      <c r="V31" s="170">
        <v>0</v>
      </c>
      <c r="W31" s="171">
        <f t="shared" si="3"/>
        <v>0</v>
      </c>
      <c r="X31" s="171">
        <f t="shared" si="4"/>
        <v>0</v>
      </c>
      <c r="Y31" s="171">
        <f t="shared" si="5"/>
        <v>0</v>
      </c>
      <c r="Z31" s="171">
        <f t="shared" si="6"/>
        <v>0</v>
      </c>
      <c r="AA31" s="135"/>
    </row>
    <row r="32" spans="1:27" ht="41.25" customHeight="1" outlineLevel="1" x14ac:dyDescent="0.25">
      <c r="A32" s="166" t="s">
        <v>835</v>
      </c>
      <c r="B32" s="167" t="s">
        <v>690</v>
      </c>
      <c r="C32" s="168" t="s">
        <v>38</v>
      </c>
      <c r="D32" s="168">
        <v>0</v>
      </c>
      <c r="E32" s="168">
        <v>0</v>
      </c>
      <c r="F32" s="168"/>
      <c r="G32" s="168">
        <v>12.69</v>
      </c>
      <c r="H32" s="168"/>
      <c r="I32" s="168"/>
      <c r="J32" s="168"/>
      <c r="K32" s="168"/>
      <c r="L32" s="168"/>
      <c r="M32" s="168"/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9">
        <f t="shared" si="2"/>
        <v>12.69</v>
      </c>
      <c r="U32" s="170">
        <v>0</v>
      </c>
      <c r="V32" s="170">
        <v>0</v>
      </c>
      <c r="W32" s="171">
        <f t="shared" si="3"/>
        <v>0</v>
      </c>
      <c r="X32" s="171">
        <f t="shared" si="4"/>
        <v>0</v>
      </c>
      <c r="Y32" s="171">
        <f t="shared" si="5"/>
        <v>0</v>
      </c>
      <c r="Z32" s="171">
        <f t="shared" si="6"/>
        <v>0</v>
      </c>
      <c r="AA32" s="135"/>
    </row>
    <row r="33" spans="1:27" ht="90.75" customHeight="1" x14ac:dyDescent="0.25">
      <c r="A33" s="160" t="s">
        <v>57</v>
      </c>
      <c r="B33" s="161" t="s">
        <v>58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73"/>
      <c r="V33" s="173"/>
      <c r="W33" s="173"/>
      <c r="X33" s="205">
        <f>SUBTOTAL(9,X34:X52)</f>
        <v>0</v>
      </c>
      <c r="Y33" s="205">
        <f t="shared" ref="Y33:Z33" si="8">SUBTOTAL(9,Y34:Y52)</f>
        <v>0</v>
      </c>
      <c r="Z33" s="205">
        <f t="shared" si="8"/>
        <v>0</v>
      </c>
      <c r="AA33" s="136"/>
    </row>
    <row r="34" spans="1:27" ht="22.15" customHeight="1" outlineLevel="1" x14ac:dyDescent="0.25">
      <c r="A34" s="166" t="s">
        <v>59</v>
      </c>
      <c r="B34" s="174" t="s">
        <v>60</v>
      </c>
      <c r="C34" s="175" t="s">
        <v>38</v>
      </c>
      <c r="D34" s="175">
        <f>D49</f>
        <v>1600.37</v>
      </c>
      <c r="E34" s="175">
        <f t="shared" ref="E34:S34" si="9">E49</f>
        <v>2724.3900000000003</v>
      </c>
      <c r="F34" s="175">
        <f t="shared" si="9"/>
        <v>2041.46</v>
      </c>
      <c r="G34" s="175">
        <f t="shared" si="9"/>
        <v>1612.73</v>
      </c>
      <c r="H34" s="175">
        <f t="shared" si="9"/>
        <v>2669.9</v>
      </c>
      <c r="I34" s="175">
        <f t="shared" si="9"/>
        <v>3399.91</v>
      </c>
      <c r="J34" s="175">
        <f t="shared" si="9"/>
        <v>2238.3000000000002</v>
      </c>
      <c r="K34" s="175">
        <f t="shared" si="9"/>
        <v>3835.26</v>
      </c>
      <c r="L34" s="175">
        <f t="shared" si="9"/>
        <v>3133.99</v>
      </c>
      <c r="M34" s="175">
        <f t="shared" si="9"/>
        <v>3632.02</v>
      </c>
      <c r="N34" s="175">
        <f t="shared" si="9"/>
        <v>2694.2999999999997</v>
      </c>
      <c r="O34" s="175">
        <f t="shared" si="9"/>
        <v>3577.1400000000012</v>
      </c>
      <c r="P34" s="175">
        <f t="shared" si="9"/>
        <v>1739.6000000000001</v>
      </c>
      <c r="Q34" s="175">
        <f t="shared" si="9"/>
        <v>3018.05</v>
      </c>
      <c r="R34" s="175">
        <f t="shared" si="9"/>
        <v>4034.21</v>
      </c>
      <c r="S34" s="175">
        <f t="shared" si="9"/>
        <v>3137.92</v>
      </c>
      <c r="T34" s="169">
        <f t="shared" si="2"/>
        <v>45089.549999999996</v>
      </c>
      <c r="U34" s="170">
        <v>0</v>
      </c>
      <c r="V34" s="170">
        <v>0</v>
      </c>
      <c r="W34" s="171">
        <f t="shared" ref="W34:W36" si="10">V34+U34</f>
        <v>0</v>
      </c>
      <c r="X34" s="171">
        <f t="shared" ref="X34:X36" si="11">$T34*U34</f>
        <v>0</v>
      </c>
      <c r="Y34" s="171">
        <f t="shared" ref="Y34:Y36" si="12">$T34*V34</f>
        <v>0</v>
      </c>
      <c r="Z34" s="171">
        <f t="shared" ref="Z34:Z36" si="13">Y34+X34</f>
        <v>0</v>
      </c>
      <c r="AA34" s="137"/>
    </row>
    <row r="35" spans="1:27" ht="31.5" outlineLevel="1" x14ac:dyDescent="0.25">
      <c r="A35" s="166" t="s">
        <v>61</v>
      </c>
      <c r="B35" s="167" t="s">
        <v>713</v>
      </c>
      <c r="C35" s="168" t="s">
        <v>21</v>
      </c>
      <c r="D35" s="168">
        <v>0</v>
      </c>
      <c r="E35" s="168">
        <v>0</v>
      </c>
      <c r="F35" s="168"/>
      <c r="G35" s="168"/>
      <c r="H35" s="168"/>
      <c r="I35" s="168"/>
      <c r="J35" s="168"/>
      <c r="K35" s="168"/>
      <c r="L35" s="168"/>
      <c r="M35" s="168"/>
      <c r="N35" s="168">
        <v>0</v>
      </c>
      <c r="O35" s="168">
        <v>0</v>
      </c>
      <c r="P35" s="168">
        <v>2.42</v>
      </c>
      <c r="Q35" s="168">
        <v>0</v>
      </c>
      <c r="R35" s="168">
        <v>0</v>
      </c>
      <c r="S35" s="168">
        <v>0</v>
      </c>
      <c r="T35" s="169">
        <f t="shared" si="2"/>
        <v>2.42</v>
      </c>
      <c r="U35" s="170">
        <v>0</v>
      </c>
      <c r="V35" s="170">
        <v>0</v>
      </c>
      <c r="W35" s="171">
        <f t="shared" si="10"/>
        <v>0</v>
      </c>
      <c r="X35" s="171">
        <f t="shared" si="11"/>
        <v>0</v>
      </c>
      <c r="Y35" s="171">
        <f t="shared" si="12"/>
        <v>0</v>
      </c>
      <c r="Z35" s="171">
        <f t="shared" si="13"/>
        <v>0</v>
      </c>
      <c r="AA35" s="137"/>
    </row>
    <row r="36" spans="1:27" ht="63" outlineLevel="1" x14ac:dyDescent="0.25">
      <c r="A36" s="166" t="s">
        <v>63</v>
      </c>
      <c r="B36" s="167" t="s">
        <v>805</v>
      </c>
      <c r="C36" s="168" t="s">
        <v>21</v>
      </c>
      <c r="D36" s="168"/>
      <c r="E36" s="168">
        <v>0</v>
      </c>
      <c r="F36" s="168"/>
      <c r="G36" s="168"/>
      <c r="H36" s="168"/>
      <c r="I36" s="168"/>
      <c r="J36" s="168"/>
      <c r="K36" s="168"/>
      <c r="L36" s="168"/>
      <c r="M36" s="168"/>
      <c r="N36" s="168">
        <v>0</v>
      </c>
      <c r="O36" s="168">
        <v>0</v>
      </c>
      <c r="P36" s="168">
        <f>11.34+12.15</f>
        <v>23.490000000000002</v>
      </c>
      <c r="Q36" s="168">
        <v>0</v>
      </c>
      <c r="R36" s="168">
        <f>8.69+10.95</f>
        <v>19.64</v>
      </c>
      <c r="S36" s="168">
        <v>0</v>
      </c>
      <c r="T36" s="169">
        <f t="shared" si="2"/>
        <v>43.13</v>
      </c>
      <c r="U36" s="170">
        <v>0</v>
      </c>
      <c r="V36" s="170">
        <v>0</v>
      </c>
      <c r="W36" s="171">
        <f t="shared" si="10"/>
        <v>0</v>
      </c>
      <c r="X36" s="171">
        <f t="shared" si="11"/>
        <v>0</v>
      </c>
      <c r="Y36" s="171">
        <f t="shared" si="12"/>
        <v>0</v>
      </c>
      <c r="Z36" s="171">
        <f t="shared" si="13"/>
        <v>0</v>
      </c>
      <c r="AA36" s="137"/>
    </row>
    <row r="37" spans="1:27" ht="63" outlineLevel="1" x14ac:dyDescent="0.25">
      <c r="A37" s="166" t="s">
        <v>65</v>
      </c>
      <c r="B37" s="167" t="s">
        <v>62</v>
      </c>
      <c r="C37" s="168" t="s">
        <v>21</v>
      </c>
      <c r="D37" s="168">
        <v>3.49</v>
      </c>
      <c r="E37" s="168">
        <v>6.58</v>
      </c>
      <c r="F37" s="168">
        <v>2.2799999999999998</v>
      </c>
      <c r="G37" s="168">
        <v>11</v>
      </c>
      <c r="H37" s="168">
        <v>5.88</v>
      </c>
      <c r="I37" s="168">
        <v>5.46</v>
      </c>
      <c r="J37" s="168">
        <v>2.17</v>
      </c>
      <c r="K37" s="168">
        <v>5.77</v>
      </c>
      <c r="L37" s="168">
        <v>9.8000000000000007</v>
      </c>
      <c r="M37" s="168">
        <v>18.79</v>
      </c>
      <c r="N37" s="168">
        <v>10.130000000000001</v>
      </c>
      <c r="O37" s="168">
        <v>3.39</v>
      </c>
      <c r="P37" s="168">
        <v>4.45</v>
      </c>
      <c r="Q37" s="168">
        <v>1.9</v>
      </c>
      <c r="R37" s="168">
        <v>4.01</v>
      </c>
      <c r="S37" s="168">
        <v>1.59</v>
      </c>
      <c r="T37" s="169">
        <f t="shared" si="2"/>
        <v>96.690000000000012</v>
      </c>
      <c r="U37" s="170">
        <v>0</v>
      </c>
      <c r="V37" s="170">
        <v>0</v>
      </c>
      <c r="W37" s="171">
        <f t="shared" ref="W37:W52" si="14">V37+U37</f>
        <v>0</v>
      </c>
      <c r="X37" s="171">
        <f t="shared" ref="X37:X52" si="15">$T37*U37</f>
        <v>0</v>
      </c>
      <c r="Y37" s="171">
        <f t="shared" ref="Y37:Y52" si="16">$T37*V37</f>
        <v>0</v>
      </c>
      <c r="Z37" s="171">
        <f t="shared" ref="Z37:Z52" si="17">Y37+X37</f>
        <v>0</v>
      </c>
      <c r="AA37" s="137"/>
    </row>
    <row r="38" spans="1:27" ht="63" outlineLevel="1" x14ac:dyDescent="0.25">
      <c r="A38" s="166" t="s">
        <v>67</v>
      </c>
      <c r="B38" s="167" t="s">
        <v>722</v>
      </c>
      <c r="C38" s="168" t="s">
        <v>21</v>
      </c>
      <c r="D38" s="168">
        <v>0.34</v>
      </c>
      <c r="E38" s="168">
        <v>9.8699999999999992</v>
      </c>
      <c r="F38" s="168"/>
      <c r="G38" s="168"/>
      <c r="H38" s="168"/>
      <c r="I38" s="168"/>
      <c r="J38" s="168"/>
      <c r="K38" s="168"/>
      <c r="L38" s="168"/>
      <c r="M38" s="168"/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9">
        <f t="shared" si="2"/>
        <v>10.209999999999999</v>
      </c>
      <c r="U38" s="170">
        <v>0</v>
      </c>
      <c r="V38" s="170">
        <v>0</v>
      </c>
      <c r="W38" s="171">
        <f t="shared" si="14"/>
        <v>0</v>
      </c>
      <c r="X38" s="171">
        <f t="shared" si="15"/>
        <v>0</v>
      </c>
      <c r="Y38" s="171">
        <f t="shared" si="16"/>
        <v>0</v>
      </c>
      <c r="Z38" s="171">
        <f t="shared" si="17"/>
        <v>0</v>
      </c>
      <c r="AA38" s="137"/>
    </row>
    <row r="39" spans="1:27" ht="63" outlineLevel="1" x14ac:dyDescent="0.25">
      <c r="A39" s="166" t="s">
        <v>69</v>
      </c>
      <c r="B39" s="167" t="s">
        <v>64</v>
      </c>
      <c r="C39" s="168" t="s">
        <v>21</v>
      </c>
      <c r="D39" s="168">
        <v>0</v>
      </c>
      <c r="E39" s="168">
        <v>0</v>
      </c>
      <c r="F39" s="168">
        <v>0.36</v>
      </c>
      <c r="G39" s="168">
        <v>7.32</v>
      </c>
      <c r="H39" s="168">
        <v>0.82</v>
      </c>
      <c r="I39" s="168"/>
      <c r="J39" s="168"/>
      <c r="K39" s="168"/>
      <c r="L39" s="168"/>
      <c r="M39" s="168"/>
      <c r="N39" s="168">
        <v>0</v>
      </c>
      <c r="O39" s="168">
        <v>17.510000000000002</v>
      </c>
      <c r="P39" s="168">
        <v>0</v>
      </c>
      <c r="Q39" s="168">
        <v>29.08</v>
      </c>
      <c r="R39" s="168">
        <v>29.23</v>
      </c>
      <c r="S39" s="168">
        <v>15.87</v>
      </c>
      <c r="T39" s="169">
        <f t="shared" si="2"/>
        <v>100.19000000000001</v>
      </c>
      <c r="U39" s="170">
        <v>0</v>
      </c>
      <c r="V39" s="170">
        <v>0</v>
      </c>
      <c r="W39" s="171">
        <f t="shared" si="14"/>
        <v>0</v>
      </c>
      <c r="X39" s="171">
        <f t="shared" si="15"/>
        <v>0</v>
      </c>
      <c r="Y39" s="171">
        <f t="shared" si="16"/>
        <v>0</v>
      </c>
      <c r="Z39" s="171">
        <f t="shared" si="17"/>
        <v>0</v>
      </c>
      <c r="AA39" s="137"/>
    </row>
    <row r="40" spans="1:27" ht="63" outlineLevel="1" x14ac:dyDescent="0.25">
      <c r="A40" s="166" t="s">
        <v>71</v>
      </c>
      <c r="B40" s="167" t="s">
        <v>66</v>
      </c>
      <c r="C40" s="168" t="s">
        <v>21</v>
      </c>
      <c r="D40" s="168">
        <f>10.52+249.9</f>
        <v>260.42</v>
      </c>
      <c r="E40" s="168">
        <f>27.66+0.74+301.43</f>
        <v>329.83</v>
      </c>
      <c r="F40" s="168">
        <f>1.35+198.33</f>
        <v>199.68</v>
      </c>
      <c r="G40" s="168">
        <f>377.77</f>
        <v>377.77</v>
      </c>
      <c r="H40" s="168">
        <f>19.22+279.44</f>
        <v>298.65999999999997</v>
      </c>
      <c r="I40" s="168">
        <v>398.4</v>
      </c>
      <c r="J40" s="168">
        <v>241.44</v>
      </c>
      <c r="K40" s="168">
        <f>447.04+6.51</f>
        <v>453.55</v>
      </c>
      <c r="L40" s="168">
        <f>5.29+3.22+304.53</f>
        <v>313.03999999999996</v>
      </c>
      <c r="M40" s="168">
        <f>10.12+421.6</f>
        <v>431.72</v>
      </c>
      <c r="N40" s="168">
        <f>0.03+313.7</f>
        <v>313.72999999999996</v>
      </c>
      <c r="O40" s="168">
        <f>469.33+1.14+10.48</f>
        <v>480.95</v>
      </c>
      <c r="P40" s="168">
        <f>8.27+160.1</f>
        <v>168.37</v>
      </c>
      <c r="Q40" s="168">
        <v>16.11</v>
      </c>
      <c r="R40" s="168">
        <v>3.35</v>
      </c>
      <c r="S40" s="168">
        <f>2.32+322.56</f>
        <v>324.88</v>
      </c>
      <c r="T40" s="169">
        <f t="shared" si="2"/>
        <v>4611.9000000000005</v>
      </c>
      <c r="U40" s="170">
        <v>0</v>
      </c>
      <c r="V40" s="170">
        <v>0</v>
      </c>
      <c r="W40" s="171">
        <f t="shared" si="14"/>
        <v>0</v>
      </c>
      <c r="X40" s="171">
        <f t="shared" si="15"/>
        <v>0</v>
      </c>
      <c r="Y40" s="171">
        <f t="shared" si="16"/>
        <v>0</v>
      </c>
      <c r="Z40" s="171">
        <f t="shared" si="17"/>
        <v>0</v>
      </c>
      <c r="AA40" s="137"/>
    </row>
    <row r="41" spans="1:27" ht="63" outlineLevel="1" x14ac:dyDescent="0.25">
      <c r="A41" s="166" t="s">
        <v>73</v>
      </c>
      <c r="B41" s="167" t="s">
        <v>691</v>
      </c>
      <c r="C41" s="168" t="s">
        <v>21</v>
      </c>
      <c r="D41" s="168">
        <v>0</v>
      </c>
      <c r="E41" s="168">
        <v>0</v>
      </c>
      <c r="F41" s="168"/>
      <c r="G41" s="168"/>
      <c r="H41" s="168"/>
      <c r="I41" s="168"/>
      <c r="J41" s="168"/>
      <c r="K41" s="168"/>
      <c r="L41" s="168"/>
      <c r="M41" s="168"/>
      <c r="N41" s="168">
        <v>0</v>
      </c>
      <c r="O41" s="168">
        <v>0</v>
      </c>
      <c r="P41" s="168">
        <v>11.94</v>
      </c>
      <c r="Q41" s="168">
        <v>0</v>
      </c>
      <c r="R41" s="168">
        <v>0</v>
      </c>
      <c r="S41" s="168">
        <v>0</v>
      </c>
      <c r="T41" s="169">
        <f t="shared" si="2"/>
        <v>11.94</v>
      </c>
      <c r="U41" s="170">
        <v>0</v>
      </c>
      <c r="V41" s="170">
        <v>0</v>
      </c>
      <c r="W41" s="171">
        <f t="shared" si="14"/>
        <v>0</v>
      </c>
      <c r="X41" s="171">
        <f t="shared" si="15"/>
        <v>0</v>
      </c>
      <c r="Y41" s="171">
        <f t="shared" si="16"/>
        <v>0</v>
      </c>
      <c r="Z41" s="171">
        <f t="shared" si="17"/>
        <v>0</v>
      </c>
      <c r="AA41" s="137"/>
    </row>
    <row r="42" spans="1:27" ht="63" outlineLevel="1" x14ac:dyDescent="0.25">
      <c r="A42" s="166" t="s">
        <v>75</v>
      </c>
      <c r="B42" s="167" t="s">
        <v>68</v>
      </c>
      <c r="C42" s="168" t="s">
        <v>21</v>
      </c>
      <c r="D42" s="168">
        <v>6.05</v>
      </c>
      <c r="E42" s="168">
        <v>0</v>
      </c>
      <c r="F42" s="168"/>
      <c r="G42" s="168">
        <v>7.53</v>
      </c>
      <c r="H42" s="168"/>
      <c r="I42" s="168">
        <v>0.05</v>
      </c>
      <c r="J42" s="168"/>
      <c r="K42" s="168">
        <v>1.1000000000000001</v>
      </c>
      <c r="L42" s="168"/>
      <c r="M42" s="168"/>
      <c r="N42" s="168">
        <v>0</v>
      </c>
      <c r="O42" s="168">
        <v>1.05</v>
      </c>
      <c r="P42" s="168">
        <v>0</v>
      </c>
      <c r="Q42" s="168">
        <f>1.95+1.87</f>
        <v>3.8200000000000003</v>
      </c>
      <c r="R42" s="168">
        <v>2.0099999999999998</v>
      </c>
      <c r="S42" s="168">
        <v>0</v>
      </c>
      <c r="T42" s="169">
        <f t="shared" si="2"/>
        <v>21.61</v>
      </c>
      <c r="U42" s="170">
        <v>0</v>
      </c>
      <c r="V42" s="170">
        <v>0</v>
      </c>
      <c r="W42" s="171">
        <f t="shared" si="14"/>
        <v>0</v>
      </c>
      <c r="X42" s="171">
        <f t="shared" si="15"/>
        <v>0</v>
      </c>
      <c r="Y42" s="171">
        <f t="shared" si="16"/>
        <v>0</v>
      </c>
      <c r="Z42" s="171">
        <f t="shared" si="17"/>
        <v>0</v>
      </c>
      <c r="AA42" s="137"/>
    </row>
    <row r="43" spans="1:27" ht="63" outlineLevel="1" x14ac:dyDescent="0.25">
      <c r="A43" s="166" t="s">
        <v>77</v>
      </c>
      <c r="B43" s="167" t="s">
        <v>70</v>
      </c>
      <c r="C43" s="168" t="s">
        <v>21</v>
      </c>
      <c r="D43" s="168">
        <v>0</v>
      </c>
      <c r="E43" s="168">
        <v>0</v>
      </c>
      <c r="F43" s="168">
        <v>0.46</v>
      </c>
      <c r="G43" s="168">
        <v>0.03</v>
      </c>
      <c r="H43" s="168">
        <v>0.37</v>
      </c>
      <c r="I43" s="168"/>
      <c r="J43" s="168">
        <v>0.24</v>
      </c>
      <c r="K43" s="168">
        <v>0.26</v>
      </c>
      <c r="L43" s="168">
        <v>0.13</v>
      </c>
      <c r="M43" s="168"/>
      <c r="N43" s="168">
        <v>0</v>
      </c>
      <c r="O43" s="168">
        <v>0</v>
      </c>
      <c r="P43" s="168">
        <v>0.57999999999999996</v>
      </c>
      <c r="Q43" s="168">
        <v>0.38</v>
      </c>
      <c r="R43" s="168">
        <v>0</v>
      </c>
      <c r="S43" s="168">
        <v>0</v>
      </c>
      <c r="T43" s="169">
        <f t="shared" si="2"/>
        <v>2.4500000000000002</v>
      </c>
      <c r="U43" s="170">
        <v>0</v>
      </c>
      <c r="V43" s="170">
        <v>0</v>
      </c>
      <c r="W43" s="171">
        <f t="shared" si="14"/>
        <v>0</v>
      </c>
      <c r="X43" s="171">
        <f t="shared" si="15"/>
        <v>0</v>
      </c>
      <c r="Y43" s="171">
        <f t="shared" si="16"/>
        <v>0</v>
      </c>
      <c r="Z43" s="171">
        <f t="shared" si="17"/>
        <v>0</v>
      </c>
      <c r="AA43" s="137"/>
    </row>
    <row r="44" spans="1:27" ht="63" outlineLevel="1" x14ac:dyDescent="0.25">
      <c r="A44" s="166" t="s">
        <v>79</v>
      </c>
      <c r="B44" s="167" t="s">
        <v>78</v>
      </c>
      <c r="C44" s="168" t="s">
        <v>21</v>
      </c>
      <c r="D44" s="168">
        <v>0</v>
      </c>
      <c r="E44" s="168">
        <v>0</v>
      </c>
      <c r="F44" s="168"/>
      <c r="G44" s="168"/>
      <c r="H44" s="168"/>
      <c r="I44" s="168">
        <v>2.46</v>
      </c>
      <c r="J44" s="168">
        <v>1.36</v>
      </c>
      <c r="K44" s="168">
        <v>0.93</v>
      </c>
      <c r="L44" s="168">
        <v>0.55000000000000004</v>
      </c>
      <c r="M44" s="168">
        <v>1.59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9">
        <f t="shared" si="2"/>
        <v>6.89</v>
      </c>
      <c r="U44" s="170">
        <v>0</v>
      </c>
      <c r="V44" s="170">
        <v>0</v>
      </c>
      <c r="W44" s="171">
        <f t="shared" si="14"/>
        <v>0</v>
      </c>
      <c r="X44" s="171">
        <f t="shared" si="15"/>
        <v>0</v>
      </c>
      <c r="Y44" s="171">
        <f t="shared" si="16"/>
        <v>0</v>
      </c>
      <c r="Z44" s="171">
        <f t="shared" si="17"/>
        <v>0</v>
      </c>
      <c r="AA44" s="137"/>
    </row>
    <row r="45" spans="1:27" ht="63" outlineLevel="1" x14ac:dyDescent="0.25">
      <c r="A45" s="166" t="s">
        <v>81</v>
      </c>
      <c r="B45" s="167" t="s">
        <v>80</v>
      </c>
      <c r="C45" s="168" t="s">
        <v>21</v>
      </c>
      <c r="D45" s="168">
        <v>0</v>
      </c>
      <c r="E45" s="168">
        <v>0</v>
      </c>
      <c r="F45" s="168"/>
      <c r="G45" s="168"/>
      <c r="H45" s="168">
        <v>5.9</v>
      </c>
      <c r="I45" s="168"/>
      <c r="J45" s="168"/>
      <c r="K45" s="168">
        <v>13.6</v>
      </c>
      <c r="L45" s="168">
        <v>14.61</v>
      </c>
      <c r="M45" s="168">
        <v>11.47</v>
      </c>
      <c r="N45" s="168">
        <v>0</v>
      </c>
      <c r="O45" s="168">
        <v>0</v>
      </c>
      <c r="P45" s="168">
        <v>0</v>
      </c>
      <c r="Q45" s="168">
        <v>0</v>
      </c>
      <c r="R45" s="168">
        <v>0</v>
      </c>
      <c r="S45" s="168">
        <v>0</v>
      </c>
      <c r="T45" s="169">
        <f t="shared" si="2"/>
        <v>45.58</v>
      </c>
      <c r="U45" s="170">
        <v>0</v>
      </c>
      <c r="V45" s="170">
        <v>0</v>
      </c>
      <c r="W45" s="171">
        <f t="shared" si="14"/>
        <v>0</v>
      </c>
      <c r="X45" s="171">
        <f t="shared" si="15"/>
        <v>0</v>
      </c>
      <c r="Y45" s="171">
        <f t="shared" si="16"/>
        <v>0</v>
      </c>
      <c r="Z45" s="171">
        <f t="shared" si="17"/>
        <v>0</v>
      </c>
      <c r="AA45" s="137"/>
    </row>
    <row r="46" spans="1:27" ht="31.5" outlineLevel="1" x14ac:dyDescent="0.25">
      <c r="A46" s="166" t="s">
        <v>83</v>
      </c>
      <c r="B46" s="167" t="s">
        <v>82</v>
      </c>
      <c r="C46" s="168" t="s">
        <v>38</v>
      </c>
      <c r="D46" s="168">
        <v>0</v>
      </c>
      <c r="E46" s="168">
        <v>0</v>
      </c>
      <c r="F46" s="168"/>
      <c r="G46" s="168"/>
      <c r="H46" s="168">
        <f>H44/0.15+H45/0.18</f>
        <v>32.777777777777779</v>
      </c>
      <c r="I46" s="168">
        <v>16.400000000000002</v>
      </c>
      <c r="J46" s="168">
        <v>9.0666666666666682</v>
      </c>
      <c r="K46" s="168">
        <v>81.75555555555556</v>
      </c>
      <c r="L46" s="168">
        <v>84.833333333333343</v>
      </c>
      <c r="M46" s="168">
        <v>74.322222222222223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0</v>
      </c>
      <c r="T46" s="169">
        <f t="shared" si="2"/>
        <v>299.15555555555557</v>
      </c>
      <c r="U46" s="170">
        <v>0</v>
      </c>
      <c r="V46" s="170">
        <v>0</v>
      </c>
      <c r="W46" s="171">
        <f t="shared" si="14"/>
        <v>0</v>
      </c>
      <c r="X46" s="171">
        <f t="shared" si="15"/>
        <v>0</v>
      </c>
      <c r="Y46" s="171">
        <f t="shared" si="16"/>
        <v>0</v>
      </c>
      <c r="Z46" s="171">
        <f t="shared" si="17"/>
        <v>0</v>
      </c>
      <c r="AA46" s="137"/>
    </row>
    <row r="47" spans="1:27" ht="15.75" outlineLevel="1" x14ac:dyDescent="0.25">
      <c r="A47" s="166" t="s">
        <v>85</v>
      </c>
      <c r="B47" s="167" t="s">
        <v>84</v>
      </c>
      <c r="C47" s="168" t="s">
        <v>38</v>
      </c>
      <c r="D47" s="168">
        <f>44.08+24.76+15.73+6.46+90.88</f>
        <v>181.91</v>
      </c>
      <c r="E47" s="168">
        <f>50.44+24.36+17.43+7.58+64.88+84.72</f>
        <v>249.41</v>
      </c>
      <c r="F47" s="168">
        <f>132.66+62.78+18.58+9.19</f>
        <v>223.20999999999998</v>
      </c>
      <c r="G47" s="168">
        <f>21.09+3.8+2.77+5.8</f>
        <v>33.46</v>
      </c>
      <c r="H47" s="168">
        <f>21.09+3.8+5.54+8.84</f>
        <v>39.269999999999996</v>
      </c>
      <c r="I47" s="168">
        <v>145.38999999999999</v>
      </c>
      <c r="J47" s="168">
        <v>32.94</v>
      </c>
      <c r="K47" s="168">
        <v>147.37</v>
      </c>
      <c r="L47" s="168">
        <v>131.49</v>
      </c>
      <c r="M47" s="168">
        <v>96.79</v>
      </c>
      <c r="N47" s="168">
        <f>22.3+11+7+2.9</f>
        <v>43.199999999999996</v>
      </c>
      <c r="O47" s="168">
        <f>16.1+7.4+6.5+2.9</f>
        <v>32.9</v>
      </c>
      <c r="P47" s="168">
        <f>108.64+87.32+20.2+211.12</f>
        <v>427.28</v>
      </c>
      <c r="Q47" s="168">
        <f>34.74+7.8+21.09+4.2</f>
        <v>67.83</v>
      </c>
      <c r="R47" s="168">
        <f>18.04+4.8+21.09+4.2</f>
        <v>48.13</v>
      </c>
      <c r="S47" s="168">
        <f>5.3+2.32+5.4+13.3</f>
        <v>26.32</v>
      </c>
      <c r="T47" s="169">
        <f t="shared" si="2"/>
        <v>1926.9</v>
      </c>
      <c r="U47" s="170">
        <v>0</v>
      </c>
      <c r="V47" s="170">
        <v>0</v>
      </c>
      <c r="W47" s="171">
        <f t="shared" si="14"/>
        <v>0</v>
      </c>
      <c r="X47" s="171">
        <f t="shared" si="15"/>
        <v>0</v>
      </c>
      <c r="Y47" s="171">
        <f t="shared" si="16"/>
        <v>0</v>
      </c>
      <c r="Z47" s="171">
        <f t="shared" si="17"/>
        <v>0</v>
      </c>
      <c r="AA47" s="137"/>
    </row>
    <row r="48" spans="1:27" ht="31.5" outlineLevel="1" x14ac:dyDescent="0.25">
      <c r="A48" s="166" t="s">
        <v>87</v>
      </c>
      <c r="B48" s="167" t="s">
        <v>782</v>
      </c>
      <c r="C48" s="168" t="s">
        <v>38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66.62</v>
      </c>
      <c r="O48" s="168">
        <v>59.46</v>
      </c>
      <c r="P48" s="168">
        <v>211.12</v>
      </c>
      <c r="Q48" s="168">
        <f>98.25</f>
        <v>98.25</v>
      </c>
      <c r="R48" s="168">
        <v>90.98</v>
      </c>
      <c r="S48" s="168">
        <v>61.72</v>
      </c>
      <c r="T48" s="169">
        <f t="shared" si="2"/>
        <v>588.15000000000009</v>
      </c>
      <c r="U48" s="170">
        <v>0</v>
      </c>
      <c r="V48" s="170">
        <v>0</v>
      </c>
      <c r="W48" s="171">
        <f t="shared" si="14"/>
        <v>0</v>
      </c>
      <c r="X48" s="171">
        <f t="shared" si="15"/>
        <v>0</v>
      </c>
      <c r="Y48" s="171">
        <f t="shared" si="16"/>
        <v>0</v>
      </c>
      <c r="Z48" s="171">
        <f t="shared" si="17"/>
        <v>0</v>
      </c>
      <c r="AA48" s="137"/>
    </row>
    <row r="49" spans="1:27" ht="78.75" outlineLevel="1" x14ac:dyDescent="0.25">
      <c r="A49" s="166" t="s">
        <v>457</v>
      </c>
      <c r="B49" s="174" t="s">
        <v>86</v>
      </c>
      <c r="C49" s="175" t="s">
        <v>38</v>
      </c>
      <c r="D49" s="175">
        <f t="shared" ref="D49:S49" si="18">D50</f>
        <v>1600.37</v>
      </c>
      <c r="E49" s="175">
        <f t="shared" si="18"/>
        <v>2724.3900000000003</v>
      </c>
      <c r="F49" s="175">
        <f t="shared" si="18"/>
        <v>2041.46</v>
      </c>
      <c r="G49" s="175">
        <f t="shared" si="18"/>
        <v>1612.73</v>
      </c>
      <c r="H49" s="175">
        <f t="shared" si="18"/>
        <v>2669.9</v>
      </c>
      <c r="I49" s="175">
        <f t="shared" si="18"/>
        <v>3399.91</v>
      </c>
      <c r="J49" s="175">
        <f t="shared" si="18"/>
        <v>2238.3000000000002</v>
      </c>
      <c r="K49" s="175">
        <f t="shared" si="18"/>
        <v>3835.26</v>
      </c>
      <c r="L49" s="175">
        <f t="shared" si="18"/>
        <v>3133.99</v>
      </c>
      <c r="M49" s="175">
        <f t="shared" si="18"/>
        <v>3632.02</v>
      </c>
      <c r="N49" s="175">
        <f t="shared" si="18"/>
        <v>2694.2999999999997</v>
      </c>
      <c r="O49" s="175">
        <f t="shared" si="18"/>
        <v>3577.1400000000012</v>
      </c>
      <c r="P49" s="175">
        <f t="shared" si="18"/>
        <v>1739.6000000000001</v>
      </c>
      <c r="Q49" s="175">
        <f t="shared" si="18"/>
        <v>3018.05</v>
      </c>
      <c r="R49" s="175">
        <f t="shared" si="18"/>
        <v>4034.21</v>
      </c>
      <c r="S49" s="175">
        <f t="shared" si="18"/>
        <v>3137.92</v>
      </c>
      <c r="T49" s="176">
        <f t="shared" si="2"/>
        <v>45089.549999999996</v>
      </c>
      <c r="U49" s="170">
        <v>0</v>
      </c>
      <c r="V49" s="170">
        <v>0</v>
      </c>
      <c r="W49" s="171">
        <f t="shared" si="14"/>
        <v>0</v>
      </c>
      <c r="X49" s="171">
        <f t="shared" si="15"/>
        <v>0</v>
      </c>
      <c r="Y49" s="171">
        <f t="shared" si="16"/>
        <v>0</v>
      </c>
      <c r="Z49" s="171">
        <f t="shared" si="17"/>
        <v>0</v>
      </c>
      <c r="AA49" s="137"/>
    </row>
    <row r="50" spans="1:27" ht="47.25" outlineLevel="1" x14ac:dyDescent="0.25">
      <c r="A50" s="166" t="s">
        <v>707</v>
      </c>
      <c r="B50" s="174" t="s">
        <v>88</v>
      </c>
      <c r="C50" s="175" t="s">
        <v>38</v>
      </c>
      <c r="D50" s="175">
        <f>10.75+19.87+215.09+178+30.68+24.36+45.72+91.97+214.64+168.46+61.9+4.24+103.68+153.4+32.69+21.86+6.54+14.67+5.11+60.41+40.19+125.58+22.4+34.84+40.2+409.98+6.85+84.97+33.3+14.7+37.18-D273-D291</f>
        <v>1600.37</v>
      </c>
      <c r="E50" s="175">
        <f>169.46+21.63+156.95+106.12+379.16+371.49+188.02+2.89+52.22+172.01+32.38+110.82+128.58+83.15+423.79+101.05+224.67</f>
        <v>2724.3900000000003</v>
      </c>
      <c r="F50" s="175">
        <f>2041.46</f>
        <v>2041.46</v>
      </c>
      <c r="G50" s="175">
        <f>2750.42-G291</f>
        <v>1612.73</v>
      </c>
      <c r="H50" s="175">
        <v>2669.9</v>
      </c>
      <c r="I50" s="175">
        <v>3399.91</v>
      </c>
      <c r="J50" s="175">
        <v>2238.3000000000002</v>
      </c>
      <c r="K50" s="175">
        <v>3835.26</v>
      </c>
      <c r="L50" s="175">
        <v>3133.99</v>
      </c>
      <c r="M50" s="175">
        <v>3632.02</v>
      </c>
      <c r="N50" s="175">
        <f>206.87+103.57+403.21+7.51+340.37+155.36+452.93+189.01+88.07+79.44+101.05+102.16+30.73+176.32+10.29+9.11+19.12+219.18</f>
        <v>2694.2999999999997</v>
      </c>
      <c r="O50" s="175">
        <f>313.09+437.45+216.23+338.03+349.85+168.15+58.93+303.75+279.67+138.03+322.8+94.55+12.54+281.42+1.88+14.4+13.87+232.5</f>
        <v>3577.1400000000012</v>
      </c>
      <c r="P50" s="175">
        <f>192.91+49.52+215.32+66.4+198.63+122.66+158.38+34.03+57.07+155.12+19.26+108.64+361.66</f>
        <v>1739.6000000000001</v>
      </c>
      <c r="Q50" s="175">
        <f>290.47+55.35+5.7+113.63+372.71+115.55+208.23+354.04+170.11+12+266.87+240.8+224.04+318.61+84.32+10.81+8.76+11.79+27.89+126.37</f>
        <v>3018.05</v>
      </c>
      <c r="R50" s="175">
        <f>120.43+60.52+292.7+239.64+187.55+484.41+123.79+265.78+244.34+465.96+121.46+479.92+306.85+225.86+144.89+7.8+5.95+15.15+241.21</f>
        <v>4034.21</v>
      </c>
      <c r="S50" s="175">
        <f>7.81+558.42+300.9+391.08+182.96+47.58+152.95+90.51+68.16+271.31+53.58+248.43+443.5+16.78+12.28+2.96+2.99+4.55+281.17</f>
        <v>3137.92</v>
      </c>
      <c r="T50" s="176">
        <f t="shared" si="2"/>
        <v>45089.549999999996</v>
      </c>
      <c r="U50" s="170">
        <v>0</v>
      </c>
      <c r="V50" s="170">
        <v>0</v>
      </c>
      <c r="W50" s="171">
        <f t="shared" si="14"/>
        <v>0</v>
      </c>
      <c r="X50" s="171">
        <f t="shared" si="15"/>
        <v>0</v>
      </c>
      <c r="Y50" s="171">
        <f t="shared" si="16"/>
        <v>0</v>
      </c>
      <c r="Z50" s="171">
        <f t="shared" si="17"/>
        <v>0</v>
      </c>
      <c r="AA50" s="137"/>
    </row>
    <row r="51" spans="1:27" ht="47.25" outlineLevel="1" x14ac:dyDescent="0.25">
      <c r="A51" s="166" t="s">
        <v>836</v>
      </c>
      <c r="B51" s="174" t="s">
        <v>458</v>
      </c>
      <c r="C51" s="175" t="s">
        <v>38</v>
      </c>
      <c r="D51" s="175">
        <f t="shared" ref="D51:S51" si="19">D50</f>
        <v>1600.37</v>
      </c>
      <c r="E51" s="175">
        <f t="shared" si="19"/>
        <v>2724.3900000000003</v>
      </c>
      <c r="F51" s="175">
        <f t="shared" si="19"/>
        <v>2041.46</v>
      </c>
      <c r="G51" s="175">
        <f t="shared" si="19"/>
        <v>1612.73</v>
      </c>
      <c r="H51" s="175">
        <f t="shared" si="19"/>
        <v>2669.9</v>
      </c>
      <c r="I51" s="175">
        <f t="shared" si="19"/>
        <v>3399.91</v>
      </c>
      <c r="J51" s="175">
        <f t="shared" si="19"/>
        <v>2238.3000000000002</v>
      </c>
      <c r="K51" s="175">
        <f t="shared" si="19"/>
        <v>3835.26</v>
      </c>
      <c r="L51" s="175">
        <f t="shared" si="19"/>
        <v>3133.99</v>
      </c>
      <c r="M51" s="175">
        <f t="shared" si="19"/>
        <v>3632.02</v>
      </c>
      <c r="N51" s="175">
        <f t="shared" si="19"/>
        <v>2694.2999999999997</v>
      </c>
      <c r="O51" s="175">
        <f t="shared" si="19"/>
        <v>3577.1400000000012</v>
      </c>
      <c r="P51" s="175">
        <f t="shared" si="19"/>
        <v>1739.6000000000001</v>
      </c>
      <c r="Q51" s="175">
        <f t="shared" si="19"/>
        <v>3018.05</v>
      </c>
      <c r="R51" s="175">
        <f t="shared" si="19"/>
        <v>4034.21</v>
      </c>
      <c r="S51" s="175">
        <f t="shared" si="19"/>
        <v>3137.92</v>
      </c>
      <c r="T51" s="176">
        <f t="shared" si="2"/>
        <v>45089.549999999996</v>
      </c>
      <c r="U51" s="170">
        <v>0</v>
      </c>
      <c r="V51" s="170">
        <v>0</v>
      </c>
      <c r="W51" s="171">
        <f t="shared" si="14"/>
        <v>0</v>
      </c>
      <c r="X51" s="171">
        <f t="shared" si="15"/>
        <v>0</v>
      </c>
      <c r="Y51" s="171">
        <f t="shared" si="16"/>
        <v>0</v>
      </c>
      <c r="Z51" s="171">
        <f t="shared" si="17"/>
        <v>0</v>
      </c>
      <c r="AA51" s="137"/>
    </row>
    <row r="52" spans="1:27" ht="31.5" outlineLevel="1" x14ac:dyDescent="0.25">
      <c r="A52" s="166" t="s">
        <v>837</v>
      </c>
      <c r="B52" s="167" t="s">
        <v>708</v>
      </c>
      <c r="C52" s="168" t="s">
        <v>38</v>
      </c>
      <c r="D52" s="168">
        <v>0</v>
      </c>
      <c r="E52" s="168">
        <v>0</v>
      </c>
      <c r="F52" s="168">
        <f>4.49+21.77</f>
        <v>26.259999999999998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9">
        <f t="shared" si="2"/>
        <v>26.259999999999998</v>
      </c>
      <c r="U52" s="170">
        <v>0</v>
      </c>
      <c r="V52" s="170">
        <v>0</v>
      </c>
      <c r="W52" s="171">
        <f t="shared" si="14"/>
        <v>0</v>
      </c>
      <c r="X52" s="171">
        <f t="shared" si="15"/>
        <v>0</v>
      </c>
      <c r="Y52" s="171">
        <f t="shared" si="16"/>
        <v>0</v>
      </c>
      <c r="Z52" s="171">
        <f t="shared" si="17"/>
        <v>0</v>
      </c>
      <c r="AA52" s="137"/>
    </row>
    <row r="53" spans="1:27" ht="64.5" customHeight="1" x14ac:dyDescent="0.25">
      <c r="A53" s="160" t="s">
        <v>89</v>
      </c>
      <c r="B53" s="161" t="s">
        <v>407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73"/>
      <c r="V53" s="173"/>
      <c r="W53" s="173"/>
      <c r="X53" s="205">
        <f>SUBTOTAL(9,X54:X56)</f>
        <v>0</v>
      </c>
      <c r="Y53" s="205">
        <f t="shared" ref="Y53:Z53" si="20">SUBTOTAL(9,Y54:Y56)</f>
        <v>0</v>
      </c>
      <c r="Z53" s="205">
        <f t="shared" si="20"/>
        <v>0</v>
      </c>
      <c r="AA53" s="138"/>
    </row>
    <row r="54" spans="1:27" ht="31.5" outlineLevel="1" x14ac:dyDescent="0.25">
      <c r="A54" s="166" t="s">
        <v>90</v>
      </c>
      <c r="B54" s="167" t="s">
        <v>91</v>
      </c>
      <c r="C54" s="168" t="s">
        <v>38</v>
      </c>
      <c r="D54" s="168">
        <f>D56</f>
        <v>375.17</v>
      </c>
      <c r="E54" s="168">
        <f>E56</f>
        <v>73.900000000000006</v>
      </c>
      <c r="F54" s="168">
        <v>0</v>
      </c>
      <c r="G54" s="168">
        <v>0</v>
      </c>
      <c r="H54" s="168">
        <v>71.91</v>
      </c>
      <c r="I54" s="168">
        <v>440.85</v>
      </c>
      <c r="J54" s="168">
        <v>512.05999999999995</v>
      </c>
      <c r="K54" s="168">
        <f>910.93+84.96</f>
        <v>995.89</v>
      </c>
      <c r="L54" s="168">
        <f>L56</f>
        <v>713.93000000000006</v>
      </c>
      <c r="M54" s="168">
        <f>M56</f>
        <v>545.39</v>
      </c>
      <c r="N54" s="168">
        <f>N56</f>
        <v>655.61</v>
      </c>
      <c r="O54" s="168">
        <f t="shared" ref="O54:S54" si="21">O56</f>
        <v>725.75</v>
      </c>
      <c r="P54" s="168">
        <f t="shared" si="21"/>
        <v>565.87</v>
      </c>
      <c r="Q54" s="168">
        <f t="shared" si="21"/>
        <v>380.14</v>
      </c>
      <c r="R54" s="168">
        <f t="shared" si="21"/>
        <v>563.46</v>
      </c>
      <c r="S54" s="168">
        <f t="shared" si="21"/>
        <v>576.15</v>
      </c>
      <c r="T54" s="169">
        <f t="shared" si="2"/>
        <v>7196.08</v>
      </c>
      <c r="U54" s="170">
        <v>0</v>
      </c>
      <c r="V54" s="170">
        <v>0</v>
      </c>
      <c r="W54" s="171">
        <f t="shared" ref="W54" si="22">V54+U54</f>
        <v>0</v>
      </c>
      <c r="X54" s="171">
        <f t="shared" ref="X54" si="23">$T54*U54</f>
        <v>0</v>
      </c>
      <c r="Y54" s="171">
        <f t="shared" ref="Y54" si="24">$T54*V54</f>
        <v>0</v>
      </c>
      <c r="Z54" s="171">
        <f t="shared" ref="Z54" si="25">Y54+X54</f>
        <v>0</v>
      </c>
      <c r="AA54" s="137"/>
    </row>
    <row r="55" spans="1:27" ht="63" outlineLevel="1" x14ac:dyDescent="0.25">
      <c r="A55" s="166" t="s">
        <v>92</v>
      </c>
      <c r="B55" s="167" t="s">
        <v>93</v>
      </c>
      <c r="C55" s="168" t="s">
        <v>21</v>
      </c>
      <c r="D55" s="168">
        <v>47.64</v>
      </c>
      <c r="E55" s="168">
        <v>8.89</v>
      </c>
      <c r="F55" s="168">
        <v>0</v>
      </c>
      <c r="G55" s="168">
        <v>0</v>
      </c>
      <c r="H55" s="168">
        <v>10.72</v>
      </c>
      <c r="I55" s="168">
        <v>43.49</v>
      </c>
      <c r="J55" s="168">
        <v>56.99</v>
      </c>
      <c r="K55" s="168">
        <v>114.89</v>
      </c>
      <c r="L55" s="168">
        <f>9.22+63.16</f>
        <v>72.38</v>
      </c>
      <c r="M55" s="168">
        <f>10.29+57.35</f>
        <v>67.64</v>
      </c>
      <c r="N55" s="168">
        <v>86.01</v>
      </c>
      <c r="O55" s="168">
        <v>86.77</v>
      </c>
      <c r="P55" s="168">
        <f>34.46+11.57</f>
        <v>46.03</v>
      </c>
      <c r="Q55" s="168">
        <v>46.81</v>
      </c>
      <c r="R55" s="168">
        <v>57.69</v>
      </c>
      <c r="S55" s="168">
        <f>58.77+18.71</f>
        <v>77.48</v>
      </c>
      <c r="T55" s="169">
        <f t="shared" si="2"/>
        <v>823.43000000000006</v>
      </c>
      <c r="U55" s="170">
        <v>0</v>
      </c>
      <c r="V55" s="170">
        <v>0</v>
      </c>
      <c r="W55" s="171">
        <f t="shared" ref="W55:W56" si="26">V55+U55</f>
        <v>0</v>
      </c>
      <c r="X55" s="171">
        <f t="shared" ref="X55:X56" si="27">$T55*U55</f>
        <v>0</v>
      </c>
      <c r="Y55" s="171">
        <f t="shared" ref="Y55:Y56" si="28">$T55*V55</f>
        <v>0</v>
      </c>
      <c r="Z55" s="171">
        <f t="shared" ref="Z55:Z56" si="29">Y55+X55</f>
        <v>0</v>
      </c>
      <c r="AA55" s="137"/>
    </row>
    <row r="56" spans="1:27" ht="63" outlineLevel="1" x14ac:dyDescent="0.25">
      <c r="A56" s="166" t="s">
        <v>94</v>
      </c>
      <c r="B56" s="167" t="s">
        <v>723</v>
      </c>
      <c r="C56" s="168" t="s">
        <v>38</v>
      </c>
      <c r="D56" s="168">
        <f>351.23+23.94</f>
        <v>375.17</v>
      </c>
      <c r="E56" s="168">
        <v>73.900000000000006</v>
      </c>
      <c r="F56" s="168">
        <v>0</v>
      </c>
      <c r="G56" s="168">
        <v>0</v>
      </c>
      <c r="H56" s="168">
        <v>71.91</v>
      </c>
      <c r="I56" s="168">
        <v>440.85</v>
      </c>
      <c r="J56" s="168">
        <v>512.05999999999995</v>
      </c>
      <c r="K56" s="168">
        <f>910.93+84.96</f>
        <v>995.89</v>
      </c>
      <c r="L56" s="168">
        <f>583.99+129.94</f>
        <v>713.93000000000006</v>
      </c>
      <c r="M56" s="168">
        <f>444.61+100.78</f>
        <v>545.39</v>
      </c>
      <c r="N56" s="168">
        <v>655.61</v>
      </c>
      <c r="O56" s="168">
        <v>725.75</v>
      </c>
      <c r="P56" s="168">
        <f>160.78+405.09</f>
        <v>565.87</v>
      </c>
      <c r="Q56" s="168">
        <v>380.14</v>
      </c>
      <c r="R56" s="168">
        <v>563.46</v>
      </c>
      <c r="S56" s="168">
        <v>576.15</v>
      </c>
      <c r="T56" s="169">
        <f t="shared" si="2"/>
        <v>7196.08</v>
      </c>
      <c r="U56" s="170">
        <v>0</v>
      </c>
      <c r="V56" s="170">
        <v>0</v>
      </c>
      <c r="W56" s="171">
        <f t="shared" si="26"/>
        <v>0</v>
      </c>
      <c r="X56" s="171">
        <f t="shared" si="27"/>
        <v>0</v>
      </c>
      <c r="Y56" s="171">
        <f t="shared" si="28"/>
        <v>0</v>
      </c>
      <c r="Z56" s="171">
        <f t="shared" si="29"/>
        <v>0</v>
      </c>
      <c r="AA56" s="137"/>
    </row>
    <row r="57" spans="1:27" ht="15.75" x14ac:dyDescent="0.25">
      <c r="A57" s="160" t="s">
        <v>838</v>
      </c>
      <c r="B57" s="161" t="s">
        <v>97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73"/>
      <c r="V57" s="173"/>
      <c r="W57" s="173"/>
      <c r="X57" s="205">
        <f>SUBTOTAL(9,X58:X88)</f>
        <v>0</v>
      </c>
      <c r="Y57" s="205">
        <f t="shared" ref="Y57:Z57" si="30">SUBTOTAL(9,Y58:Y88)</f>
        <v>0</v>
      </c>
      <c r="Z57" s="205">
        <f t="shared" si="30"/>
        <v>0</v>
      </c>
      <c r="AA57" s="136"/>
    </row>
    <row r="58" spans="1:27" ht="78.75" outlineLevel="1" x14ac:dyDescent="0.25">
      <c r="A58" s="177" t="s">
        <v>543</v>
      </c>
      <c r="B58" s="167" t="s">
        <v>750</v>
      </c>
      <c r="C58" s="168" t="s">
        <v>98</v>
      </c>
      <c r="D58" s="168">
        <v>0</v>
      </c>
      <c r="E58" s="168">
        <v>5</v>
      </c>
      <c r="F58" s="168"/>
      <c r="G58" s="168"/>
      <c r="H58" s="168"/>
      <c r="I58" s="168"/>
      <c r="J58" s="168"/>
      <c r="K58" s="168"/>
      <c r="L58" s="168"/>
      <c r="M58" s="168"/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9">
        <f t="shared" si="2"/>
        <v>5</v>
      </c>
      <c r="U58" s="170">
        <v>0</v>
      </c>
      <c r="V58" s="170">
        <v>0</v>
      </c>
      <c r="W58" s="171">
        <f t="shared" ref="W58" si="31">V58+U58</f>
        <v>0</v>
      </c>
      <c r="X58" s="171">
        <f t="shared" ref="X58" si="32">$T58*U58</f>
        <v>0</v>
      </c>
      <c r="Y58" s="171">
        <f t="shared" ref="Y58" si="33">$T58*V58</f>
        <v>0</v>
      </c>
      <c r="Z58" s="171">
        <f t="shared" ref="Z58" si="34">Y58+X58</f>
        <v>0</v>
      </c>
      <c r="AA58" s="137"/>
    </row>
    <row r="59" spans="1:27" ht="47.25" outlineLevel="1" x14ac:dyDescent="0.25">
      <c r="A59" s="177" t="s">
        <v>544</v>
      </c>
      <c r="B59" s="167" t="s">
        <v>899</v>
      </c>
      <c r="C59" s="168" t="s">
        <v>98</v>
      </c>
      <c r="D59" s="168"/>
      <c r="E59" s="168"/>
      <c r="F59" s="168"/>
      <c r="G59" s="168"/>
      <c r="H59" s="168"/>
      <c r="I59" s="168">
        <v>33</v>
      </c>
      <c r="J59" s="168">
        <v>0</v>
      </c>
      <c r="K59" s="168">
        <v>17</v>
      </c>
      <c r="L59" s="168"/>
      <c r="M59" s="168"/>
      <c r="N59" s="168"/>
      <c r="O59" s="168"/>
      <c r="P59" s="168"/>
      <c r="Q59" s="168"/>
      <c r="R59" s="168"/>
      <c r="S59" s="168"/>
      <c r="T59" s="169">
        <f t="shared" si="2"/>
        <v>50</v>
      </c>
      <c r="U59" s="170">
        <v>0</v>
      </c>
      <c r="V59" s="170">
        <v>0</v>
      </c>
      <c r="W59" s="171">
        <f t="shared" ref="W59:W88" si="35">V59+U59</f>
        <v>0</v>
      </c>
      <c r="X59" s="171">
        <f t="shared" ref="X59:X88" si="36">$T59*U59</f>
        <v>0</v>
      </c>
      <c r="Y59" s="171">
        <f t="shared" ref="Y59:Y88" si="37">$T59*V59</f>
        <v>0</v>
      </c>
      <c r="Z59" s="171">
        <f t="shared" ref="Z59:Z88" si="38">Y59+X59</f>
        <v>0</v>
      </c>
      <c r="AA59" s="137"/>
    </row>
    <row r="60" spans="1:27" ht="47.25" outlineLevel="1" x14ac:dyDescent="0.25">
      <c r="A60" s="177" t="s">
        <v>545</v>
      </c>
      <c r="B60" s="167" t="s">
        <v>900</v>
      </c>
      <c r="C60" s="168" t="s">
        <v>98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>
        <v>1</v>
      </c>
      <c r="N60" s="168"/>
      <c r="O60" s="168"/>
      <c r="P60" s="168"/>
      <c r="Q60" s="168"/>
      <c r="R60" s="168"/>
      <c r="S60" s="168"/>
      <c r="T60" s="169">
        <f t="shared" si="2"/>
        <v>1</v>
      </c>
      <c r="U60" s="170">
        <v>0</v>
      </c>
      <c r="V60" s="170">
        <v>0</v>
      </c>
      <c r="W60" s="171">
        <f t="shared" si="35"/>
        <v>0</v>
      </c>
      <c r="X60" s="171">
        <f t="shared" si="36"/>
        <v>0</v>
      </c>
      <c r="Y60" s="171">
        <f t="shared" si="37"/>
        <v>0</v>
      </c>
      <c r="Z60" s="171">
        <f t="shared" si="38"/>
        <v>0</v>
      </c>
      <c r="AA60" s="137"/>
    </row>
    <row r="61" spans="1:27" ht="63" outlineLevel="1" x14ac:dyDescent="0.25">
      <c r="A61" s="177" t="s">
        <v>546</v>
      </c>
      <c r="B61" s="167" t="s">
        <v>799</v>
      </c>
      <c r="C61" s="168" t="s">
        <v>98</v>
      </c>
      <c r="D61" s="168">
        <v>0</v>
      </c>
      <c r="E61" s="168">
        <v>0</v>
      </c>
      <c r="F61" s="168"/>
      <c r="G61" s="168"/>
      <c r="H61" s="168"/>
      <c r="I61" s="168"/>
      <c r="J61" s="168"/>
      <c r="K61" s="168"/>
      <c r="L61" s="168"/>
      <c r="M61" s="168"/>
      <c r="N61" s="168">
        <v>3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9">
        <f t="shared" si="2"/>
        <v>3</v>
      </c>
      <c r="U61" s="170">
        <v>0</v>
      </c>
      <c r="V61" s="170">
        <v>0</v>
      </c>
      <c r="W61" s="171">
        <f t="shared" si="35"/>
        <v>0</v>
      </c>
      <c r="X61" s="171">
        <f t="shared" si="36"/>
        <v>0</v>
      </c>
      <c r="Y61" s="171">
        <f t="shared" si="37"/>
        <v>0</v>
      </c>
      <c r="Z61" s="171">
        <f t="shared" si="38"/>
        <v>0</v>
      </c>
      <c r="AA61" s="137"/>
    </row>
    <row r="62" spans="1:27" ht="63" outlineLevel="1" x14ac:dyDescent="0.25">
      <c r="A62" s="177" t="s">
        <v>547</v>
      </c>
      <c r="B62" s="167" t="s">
        <v>815</v>
      </c>
      <c r="C62" s="168" t="s">
        <v>98</v>
      </c>
      <c r="D62" s="168">
        <v>0</v>
      </c>
      <c r="E62" s="168">
        <v>0</v>
      </c>
      <c r="F62" s="168"/>
      <c r="G62" s="168"/>
      <c r="H62" s="168"/>
      <c r="I62" s="168"/>
      <c r="J62" s="168"/>
      <c r="K62" s="168"/>
      <c r="L62" s="168"/>
      <c r="M62" s="168"/>
      <c r="N62" s="168">
        <v>0</v>
      </c>
      <c r="O62" s="168">
        <v>0</v>
      </c>
      <c r="P62" s="168">
        <v>0</v>
      </c>
      <c r="Q62" s="168">
        <v>0</v>
      </c>
      <c r="R62" s="168">
        <v>5</v>
      </c>
      <c r="S62" s="168">
        <v>0</v>
      </c>
      <c r="T62" s="169">
        <f t="shared" si="2"/>
        <v>5</v>
      </c>
      <c r="U62" s="170">
        <v>0</v>
      </c>
      <c r="V62" s="170">
        <v>0</v>
      </c>
      <c r="W62" s="171">
        <f t="shared" si="35"/>
        <v>0</v>
      </c>
      <c r="X62" s="171">
        <f t="shared" si="36"/>
        <v>0</v>
      </c>
      <c r="Y62" s="171">
        <f t="shared" si="37"/>
        <v>0</v>
      </c>
      <c r="Z62" s="171">
        <f t="shared" si="38"/>
        <v>0</v>
      </c>
      <c r="AA62" s="137"/>
    </row>
    <row r="63" spans="1:27" ht="63" outlineLevel="1" x14ac:dyDescent="0.25">
      <c r="A63" s="177" t="s">
        <v>548</v>
      </c>
      <c r="B63" s="167" t="s">
        <v>829</v>
      </c>
      <c r="C63" s="168" t="s">
        <v>98</v>
      </c>
      <c r="D63" s="168">
        <v>0</v>
      </c>
      <c r="E63" s="168">
        <v>0</v>
      </c>
      <c r="F63" s="168"/>
      <c r="G63" s="168"/>
      <c r="H63" s="168"/>
      <c r="I63" s="168"/>
      <c r="J63" s="168"/>
      <c r="K63" s="168"/>
      <c r="L63" s="168"/>
      <c r="M63" s="168"/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1</v>
      </c>
      <c r="T63" s="169">
        <f t="shared" si="2"/>
        <v>1</v>
      </c>
      <c r="U63" s="170">
        <v>0</v>
      </c>
      <c r="V63" s="170">
        <v>0</v>
      </c>
      <c r="W63" s="171">
        <f t="shared" si="35"/>
        <v>0</v>
      </c>
      <c r="X63" s="171">
        <f t="shared" si="36"/>
        <v>0</v>
      </c>
      <c r="Y63" s="171">
        <f t="shared" si="37"/>
        <v>0</v>
      </c>
      <c r="Z63" s="171">
        <f t="shared" si="38"/>
        <v>0</v>
      </c>
      <c r="AA63" s="137"/>
    </row>
    <row r="64" spans="1:27" ht="63" outlineLevel="1" x14ac:dyDescent="0.25">
      <c r="A64" s="177" t="s">
        <v>549</v>
      </c>
      <c r="B64" s="167" t="s">
        <v>751</v>
      </c>
      <c r="C64" s="168" t="s">
        <v>98</v>
      </c>
      <c r="D64" s="168">
        <v>0</v>
      </c>
      <c r="E64" s="168">
        <v>2</v>
      </c>
      <c r="F64" s="168"/>
      <c r="G64" s="168"/>
      <c r="H64" s="168"/>
      <c r="I64" s="168"/>
      <c r="J64" s="168"/>
      <c r="K64" s="168"/>
      <c r="L64" s="168"/>
      <c r="M64" s="168"/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9">
        <f t="shared" si="2"/>
        <v>2</v>
      </c>
      <c r="U64" s="170">
        <v>0</v>
      </c>
      <c r="V64" s="170">
        <v>0</v>
      </c>
      <c r="W64" s="171">
        <f t="shared" si="35"/>
        <v>0</v>
      </c>
      <c r="X64" s="171">
        <f t="shared" si="36"/>
        <v>0</v>
      </c>
      <c r="Y64" s="171">
        <f t="shared" si="37"/>
        <v>0</v>
      </c>
      <c r="Z64" s="171">
        <f t="shared" si="38"/>
        <v>0</v>
      </c>
      <c r="AA64" s="137"/>
    </row>
    <row r="65" spans="1:27" ht="63" outlineLevel="1" x14ac:dyDescent="0.25">
      <c r="A65" s="177" t="s">
        <v>550</v>
      </c>
      <c r="B65" s="167" t="s">
        <v>801</v>
      </c>
      <c r="C65" s="168" t="s">
        <v>98</v>
      </c>
      <c r="D65" s="168">
        <v>0</v>
      </c>
      <c r="E65" s="168">
        <v>0</v>
      </c>
      <c r="F65" s="168"/>
      <c r="G65" s="168"/>
      <c r="H65" s="168"/>
      <c r="I65" s="168"/>
      <c r="J65" s="168"/>
      <c r="K65" s="168"/>
      <c r="L65" s="168"/>
      <c r="M65" s="168"/>
      <c r="N65" s="168">
        <v>0</v>
      </c>
      <c r="O65" s="168">
        <v>1</v>
      </c>
      <c r="P65" s="168">
        <v>0</v>
      </c>
      <c r="Q65" s="168">
        <v>0</v>
      </c>
      <c r="R65" s="168">
        <v>0</v>
      </c>
      <c r="S65" s="168">
        <v>0</v>
      </c>
      <c r="T65" s="169">
        <f t="shared" si="2"/>
        <v>1</v>
      </c>
      <c r="U65" s="170">
        <v>0</v>
      </c>
      <c r="V65" s="170">
        <v>0</v>
      </c>
      <c r="W65" s="171">
        <f t="shared" si="35"/>
        <v>0</v>
      </c>
      <c r="X65" s="171">
        <f t="shared" si="36"/>
        <v>0</v>
      </c>
      <c r="Y65" s="171">
        <f t="shared" si="37"/>
        <v>0</v>
      </c>
      <c r="Z65" s="171">
        <f t="shared" si="38"/>
        <v>0</v>
      </c>
      <c r="AA65" s="137"/>
    </row>
    <row r="66" spans="1:27" ht="63" outlineLevel="1" x14ac:dyDescent="0.25">
      <c r="A66" s="177" t="s">
        <v>551</v>
      </c>
      <c r="B66" s="167" t="s">
        <v>830</v>
      </c>
      <c r="C66" s="168" t="s">
        <v>98</v>
      </c>
      <c r="D66" s="168">
        <v>0</v>
      </c>
      <c r="E66" s="168">
        <v>0</v>
      </c>
      <c r="F66" s="168"/>
      <c r="G66" s="168"/>
      <c r="H66" s="168"/>
      <c r="I66" s="168"/>
      <c r="J66" s="168"/>
      <c r="K66" s="168"/>
      <c r="L66" s="168"/>
      <c r="M66" s="168"/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8</v>
      </c>
      <c r="T66" s="169">
        <f t="shared" si="2"/>
        <v>8</v>
      </c>
      <c r="U66" s="170">
        <v>0</v>
      </c>
      <c r="V66" s="170">
        <v>0</v>
      </c>
      <c r="W66" s="171">
        <f t="shared" si="35"/>
        <v>0</v>
      </c>
      <c r="X66" s="171">
        <f t="shared" si="36"/>
        <v>0</v>
      </c>
      <c r="Y66" s="171">
        <f t="shared" si="37"/>
        <v>0</v>
      </c>
      <c r="Z66" s="171">
        <f t="shared" si="38"/>
        <v>0</v>
      </c>
      <c r="AA66" s="137"/>
    </row>
    <row r="67" spans="1:27" ht="63" outlineLevel="1" x14ac:dyDescent="0.25">
      <c r="A67" s="177" t="s">
        <v>552</v>
      </c>
      <c r="B67" s="167" t="s">
        <v>800</v>
      </c>
      <c r="C67" s="168" t="s">
        <v>98</v>
      </c>
      <c r="D67" s="168">
        <v>0</v>
      </c>
      <c r="E67" s="168">
        <v>0</v>
      </c>
      <c r="F67" s="168"/>
      <c r="G67" s="168"/>
      <c r="H67" s="168"/>
      <c r="I67" s="168"/>
      <c r="J67" s="168"/>
      <c r="K67" s="168"/>
      <c r="L67" s="168"/>
      <c r="M67" s="168"/>
      <c r="N67" s="168">
        <v>1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9">
        <f t="shared" si="2"/>
        <v>1</v>
      </c>
      <c r="U67" s="170">
        <v>0</v>
      </c>
      <c r="V67" s="170">
        <v>0</v>
      </c>
      <c r="W67" s="171">
        <f t="shared" si="35"/>
        <v>0</v>
      </c>
      <c r="X67" s="171">
        <f t="shared" si="36"/>
        <v>0</v>
      </c>
      <c r="Y67" s="171">
        <f t="shared" si="37"/>
        <v>0</v>
      </c>
      <c r="Z67" s="171">
        <f t="shared" si="38"/>
        <v>0</v>
      </c>
      <c r="AA67" s="137"/>
    </row>
    <row r="68" spans="1:27" ht="63" outlineLevel="1" x14ac:dyDescent="0.25">
      <c r="A68" s="177" t="s">
        <v>553</v>
      </c>
      <c r="B68" s="167" t="s">
        <v>910</v>
      </c>
      <c r="C68" s="168" t="s">
        <v>98</v>
      </c>
      <c r="D68" s="168">
        <v>0</v>
      </c>
      <c r="E68" s="168">
        <v>0</v>
      </c>
      <c r="F68" s="168"/>
      <c r="G68" s="168"/>
      <c r="H68" s="168"/>
      <c r="I68" s="168"/>
      <c r="J68" s="168">
        <v>1</v>
      </c>
      <c r="K68" s="168"/>
      <c r="L68" s="168"/>
      <c r="M68" s="168"/>
      <c r="N68" s="168">
        <v>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9">
        <f t="shared" si="2"/>
        <v>1</v>
      </c>
      <c r="U68" s="170">
        <v>0</v>
      </c>
      <c r="V68" s="170">
        <v>0</v>
      </c>
      <c r="W68" s="171">
        <f t="shared" si="35"/>
        <v>0</v>
      </c>
      <c r="X68" s="171">
        <f t="shared" si="36"/>
        <v>0</v>
      </c>
      <c r="Y68" s="171">
        <f t="shared" si="37"/>
        <v>0</v>
      </c>
      <c r="Z68" s="171">
        <f t="shared" si="38"/>
        <v>0</v>
      </c>
      <c r="AA68" s="137"/>
    </row>
    <row r="69" spans="1:27" ht="63" outlineLevel="1" x14ac:dyDescent="0.25">
      <c r="A69" s="177" t="s">
        <v>554</v>
      </c>
      <c r="B69" s="167" t="s">
        <v>831</v>
      </c>
      <c r="C69" s="168" t="s">
        <v>98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>
        <v>0</v>
      </c>
      <c r="S69" s="168">
        <v>1</v>
      </c>
      <c r="T69" s="169">
        <f t="shared" si="2"/>
        <v>1</v>
      </c>
      <c r="U69" s="170">
        <v>0</v>
      </c>
      <c r="V69" s="170">
        <v>0</v>
      </c>
      <c r="W69" s="171">
        <f t="shared" si="35"/>
        <v>0</v>
      </c>
      <c r="X69" s="171">
        <f t="shared" si="36"/>
        <v>0</v>
      </c>
      <c r="Y69" s="171">
        <f t="shared" si="37"/>
        <v>0</v>
      </c>
      <c r="Z69" s="171">
        <f t="shared" si="38"/>
        <v>0</v>
      </c>
      <c r="AA69" s="137"/>
    </row>
    <row r="70" spans="1:27" ht="63" outlineLevel="1" x14ac:dyDescent="0.25">
      <c r="A70" s="177" t="s">
        <v>555</v>
      </c>
      <c r="B70" s="167" t="s">
        <v>759</v>
      </c>
      <c r="C70" s="168" t="s">
        <v>98</v>
      </c>
      <c r="D70" s="168">
        <v>0</v>
      </c>
      <c r="E70" s="168">
        <v>0</v>
      </c>
      <c r="F70" s="168"/>
      <c r="G70" s="168"/>
      <c r="H70" s="168"/>
      <c r="I70" s="168"/>
      <c r="J70" s="168"/>
      <c r="K70" s="168"/>
      <c r="L70" s="168">
        <v>1</v>
      </c>
      <c r="M70" s="168">
        <v>1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  <c r="T70" s="169">
        <f t="shared" si="2"/>
        <v>2</v>
      </c>
      <c r="U70" s="170">
        <v>0</v>
      </c>
      <c r="V70" s="170">
        <v>0</v>
      </c>
      <c r="W70" s="171">
        <f t="shared" si="35"/>
        <v>0</v>
      </c>
      <c r="X70" s="171">
        <f t="shared" si="36"/>
        <v>0</v>
      </c>
      <c r="Y70" s="171">
        <f t="shared" si="37"/>
        <v>0</v>
      </c>
      <c r="Z70" s="171">
        <f t="shared" si="38"/>
        <v>0</v>
      </c>
      <c r="AA70" s="137"/>
    </row>
    <row r="71" spans="1:27" ht="63" outlineLevel="1" x14ac:dyDescent="0.25">
      <c r="A71" s="177" t="s">
        <v>556</v>
      </c>
      <c r="B71" s="167" t="s">
        <v>694</v>
      </c>
      <c r="C71" s="168" t="s">
        <v>98</v>
      </c>
      <c r="D71" s="168">
        <v>0</v>
      </c>
      <c r="E71" s="168">
        <v>0</v>
      </c>
      <c r="F71" s="168"/>
      <c r="G71" s="168">
        <v>2</v>
      </c>
      <c r="H71" s="168"/>
      <c r="I71" s="168"/>
      <c r="J71" s="168"/>
      <c r="K71" s="168"/>
      <c r="L71" s="168"/>
      <c r="M71" s="168"/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9">
        <f t="shared" si="2"/>
        <v>2</v>
      </c>
      <c r="U71" s="170">
        <v>0</v>
      </c>
      <c r="V71" s="170">
        <v>0</v>
      </c>
      <c r="W71" s="171">
        <f t="shared" si="35"/>
        <v>0</v>
      </c>
      <c r="X71" s="171">
        <f t="shared" si="36"/>
        <v>0</v>
      </c>
      <c r="Y71" s="171">
        <f t="shared" si="37"/>
        <v>0</v>
      </c>
      <c r="Z71" s="171">
        <f t="shared" si="38"/>
        <v>0</v>
      </c>
      <c r="AA71" s="137"/>
    </row>
    <row r="72" spans="1:27" ht="63" outlineLevel="1" x14ac:dyDescent="0.25">
      <c r="A72" s="177" t="s">
        <v>557</v>
      </c>
      <c r="B72" s="167" t="s">
        <v>758</v>
      </c>
      <c r="C72" s="168" t="s">
        <v>98</v>
      </c>
      <c r="D72" s="168">
        <v>0</v>
      </c>
      <c r="E72" s="168">
        <v>0</v>
      </c>
      <c r="F72" s="168"/>
      <c r="G72" s="168"/>
      <c r="H72" s="168"/>
      <c r="I72" s="168"/>
      <c r="J72" s="168"/>
      <c r="K72" s="168"/>
      <c r="L72" s="168">
        <v>13</v>
      </c>
      <c r="M72" s="168"/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9">
        <f t="shared" si="2"/>
        <v>13</v>
      </c>
      <c r="U72" s="170">
        <v>0</v>
      </c>
      <c r="V72" s="170">
        <v>0</v>
      </c>
      <c r="W72" s="171">
        <f t="shared" si="35"/>
        <v>0</v>
      </c>
      <c r="X72" s="171">
        <f t="shared" si="36"/>
        <v>0</v>
      </c>
      <c r="Y72" s="171">
        <f t="shared" si="37"/>
        <v>0</v>
      </c>
      <c r="Z72" s="171">
        <f t="shared" si="38"/>
        <v>0</v>
      </c>
      <c r="AA72" s="137"/>
    </row>
    <row r="73" spans="1:27" ht="47.25" outlineLevel="1" x14ac:dyDescent="0.25">
      <c r="A73" s="177" t="s">
        <v>558</v>
      </c>
      <c r="B73" s="167" t="s">
        <v>757</v>
      </c>
      <c r="C73" s="168" t="s">
        <v>98</v>
      </c>
      <c r="D73" s="168">
        <v>0</v>
      </c>
      <c r="E73" s="168">
        <v>0</v>
      </c>
      <c r="F73" s="168"/>
      <c r="G73" s="168">
        <v>5</v>
      </c>
      <c r="H73" s="168"/>
      <c r="I73" s="168"/>
      <c r="J73" s="168"/>
      <c r="K73" s="168"/>
      <c r="L73" s="168"/>
      <c r="M73" s="168"/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9">
        <f t="shared" ref="T73:T136" si="39">SUM(D73:S73)</f>
        <v>5</v>
      </c>
      <c r="U73" s="170">
        <v>0</v>
      </c>
      <c r="V73" s="170">
        <v>0</v>
      </c>
      <c r="W73" s="171">
        <f t="shared" si="35"/>
        <v>0</v>
      </c>
      <c r="X73" s="171">
        <f t="shared" si="36"/>
        <v>0</v>
      </c>
      <c r="Y73" s="171">
        <f t="shared" si="37"/>
        <v>0</v>
      </c>
      <c r="Z73" s="171">
        <f t="shared" si="38"/>
        <v>0</v>
      </c>
      <c r="AA73" s="137"/>
    </row>
    <row r="74" spans="1:27" ht="63" outlineLevel="1" x14ac:dyDescent="0.25">
      <c r="A74" s="177" t="s">
        <v>559</v>
      </c>
      <c r="B74" s="167" t="s">
        <v>756</v>
      </c>
      <c r="C74" s="168" t="s">
        <v>98</v>
      </c>
      <c r="D74" s="168">
        <v>0</v>
      </c>
      <c r="E74" s="168">
        <v>0</v>
      </c>
      <c r="F74" s="168"/>
      <c r="G74" s="168"/>
      <c r="H74" s="168">
        <v>254</v>
      </c>
      <c r="I74" s="168"/>
      <c r="J74" s="168"/>
      <c r="K74" s="168"/>
      <c r="L74" s="168"/>
      <c r="M74" s="168"/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9">
        <f t="shared" si="39"/>
        <v>254</v>
      </c>
      <c r="U74" s="170">
        <v>0</v>
      </c>
      <c r="V74" s="170">
        <v>0</v>
      </c>
      <c r="W74" s="171">
        <f t="shared" si="35"/>
        <v>0</v>
      </c>
      <c r="X74" s="171">
        <f t="shared" si="36"/>
        <v>0</v>
      </c>
      <c r="Y74" s="171">
        <f t="shared" si="37"/>
        <v>0</v>
      </c>
      <c r="Z74" s="171">
        <f t="shared" si="38"/>
        <v>0</v>
      </c>
      <c r="AA74" s="137"/>
    </row>
    <row r="75" spans="1:27" ht="47.25" outlineLevel="1" x14ac:dyDescent="0.25">
      <c r="A75" s="177" t="s">
        <v>560</v>
      </c>
      <c r="B75" s="174" t="s">
        <v>798</v>
      </c>
      <c r="C75" s="175" t="s">
        <v>98</v>
      </c>
      <c r="D75" s="175">
        <v>0</v>
      </c>
      <c r="E75" s="175">
        <v>0</v>
      </c>
      <c r="F75" s="175"/>
      <c r="G75" s="175"/>
      <c r="H75" s="175"/>
      <c r="I75" s="175"/>
      <c r="J75" s="175"/>
      <c r="K75" s="175"/>
      <c r="L75" s="175"/>
      <c r="M75" s="175"/>
      <c r="N75" s="175">
        <v>2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69">
        <f t="shared" si="39"/>
        <v>2</v>
      </c>
      <c r="U75" s="170">
        <v>0</v>
      </c>
      <c r="V75" s="170">
        <v>0</v>
      </c>
      <c r="W75" s="171">
        <f t="shared" si="35"/>
        <v>0</v>
      </c>
      <c r="X75" s="171">
        <f t="shared" si="36"/>
        <v>0</v>
      </c>
      <c r="Y75" s="171">
        <f t="shared" si="37"/>
        <v>0</v>
      </c>
      <c r="Z75" s="171">
        <f t="shared" si="38"/>
        <v>0</v>
      </c>
      <c r="AA75" s="137"/>
    </row>
    <row r="76" spans="1:27" ht="63" outlineLevel="1" x14ac:dyDescent="0.25">
      <c r="A76" s="177" t="s">
        <v>561</v>
      </c>
      <c r="B76" s="167" t="s">
        <v>748</v>
      </c>
      <c r="C76" s="168" t="s">
        <v>102</v>
      </c>
      <c r="D76" s="270">
        <v>18.03</v>
      </c>
      <c r="E76" s="271"/>
      <c r="F76" s="178"/>
      <c r="G76" s="178"/>
      <c r="H76" s="178"/>
      <c r="I76" s="178"/>
      <c r="J76" s="178"/>
      <c r="K76" s="178"/>
      <c r="L76" s="178"/>
      <c r="M76" s="178"/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9">
        <f t="shared" si="39"/>
        <v>18.03</v>
      </c>
      <c r="U76" s="170">
        <v>0</v>
      </c>
      <c r="V76" s="170">
        <v>0</v>
      </c>
      <c r="W76" s="171">
        <f t="shared" si="35"/>
        <v>0</v>
      </c>
      <c r="X76" s="171">
        <f t="shared" si="36"/>
        <v>0</v>
      </c>
      <c r="Y76" s="171">
        <f t="shared" si="37"/>
        <v>0</v>
      </c>
      <c r="Z76" s="171">
        <f t="shared" si="38"/>
        <v>0</v>
      </c>
      <c r="AA76" s="137"/>
    </row>
    <row r="77" spans="1:27" ht="63" outlineLevel="1" x14ac:dyDescent="0.25">
      <c r="A77" s="177" t="s">
        <v>562</v>
      </c>
      <c r="B77" s="167" t="s">
        <v>816</v>
      </c>
      <c r="C77" s="168" t="s">
        <v>102</v>
      </c>
      <c r="D77" s="168">
        <v>22.4</v>
      </c>
      <c r="E77" s="168">
        <v>0</v>
      </c>
      <c r="F77" s="168"/>
      <c r="G77" s="168">
        <v>13.6</v>
      </c>
      <c r="H77" s="168">
        <v>83.6</v>
      </c>
      <c r="I77" s="168">
        <v>119.9</v>
      </c>
      <c r="J77" s="168">
        <v>36.9</v>
      </c>
      <c r="K77" s="168">
        <v>36.9</v>
      </c>
      <c r="L77" s="168">
        <v>9.5</v>
      </c>
      <c r="M77" s="168">
        <v>55.9</v>
      </c>
      <c r="N77" s="168">
        <v>31.5</v>
      </c>
      <c r="O77" s="168">
        <v>34</v>
      </c>
      <c r="P77" s="168">
        <v>0</v>
      </c>
      <c r="Q77" s="168">
        <v>0</v>
      </c>
      <c r="R77" s="168">
        <v>0</v>
      </c>
      <c r="S77" s="168">
        <v>22</v>
      </c>
      <c r="T77" s="169">
        <f t="shared" si="39"/>
        <v>466.19999999999993</v>
      </c>
      <c r="U77" s="170">
        <v>0</v>
      </c>
      <c r="V77" s="170">
        <v>0</v>
      </c>
      <c r="W77" s="171">
        <f t="shared" si="35"/>
        <v>0</v>
      </c>
      <c r="X77" s="171">
        <f t="shared" si="36"/>
        <v>0</v>
      </c>
      <c r="Y77" s="171">
        <f t="shared" si="37"/>
        <v>0</v>
      </c>
      <c r="Z77" s="171">
        <f t="shared" si="38"/>
        <v>0</v>
      </c>
      <c r="AA77" s="137"/>
    </row>
    <row r="78" spans="1:27" ht="63" outlineLevel="1" x14ac:dyDescent="0.25">
      <c r="A78" s="177" t="s">
        <v>563</v>
      </c>
      <c r="B78" s="167" t="s">
        <v>817</v>
      </c>
      <c r="C78" s="168" t="s">
        <v>102</v>
      </c>
      <c r="D78" s="168">
        <v>22.4</v>
      </c>
      <c r="E78" s="168">
        <v>0</v>
      </c>
      <c r="F78" s="168"/>
      <c r="G78" s="168"/>
      <c r="H78" s="168"/>
      <c r="I78" s="168"/>
      <c r="J78" s="168"/>
      <c r="K78" s="168"/>
      <c r="L78" s="168"/>
      <c r="M78" s="168"/>
      <c r="N78" s="168">
        <v>31.5</v>
      </c>
      <c r="O78" s="168">
        <v>34</v>
      </c>
      <c r="P78" s="168">
        <v>0</v>
      </c>
      <c r="Q78" s="168">
        <v>14</v>
      </c>
      <c r="R78" s="168">
        <v>40.700000000000003</v>
      </c>
      <c r="S78" s="168">
        <v>0</v>
      </c>
      <c r="T78" s="169">
        <f t="shared" si="39"/>
        <v>142.60000000000002</v>
      </c>
      <c r="U78" s="170">
        <v>0</v>
      </c>
      <c r="V78" s="170">
        <v>0</v>
      </c>
      <c r="W78" s="171">
        <f t="shared" si="35"/>
        <v>0</v>
      </c>
      <c r="X78" s="171">
        <f t="shared" si="36"/>
        <v>0</v>
      </c>
      <c r="Y78" s="171">
        <f t="shared" si="37"/>
        <v>0</v>
      </c>
      <c r="Z78" s="171">
        <f t="shared" si="38"/>
        <v>0</v>
      </c>
      <c r="AA78" s="137"/>
    </row>
    <row r="79" spans="1:27" ht="63" outlineLevel="1" x14ac:dyDescent="0.25">
      <c r="A79" s="177" t="s">
        <v>564</v>
      </c>
      <c r="B79" s="167" t="s">
        <v>828</v>
      </c>
      <c r="C79" s="168" t="s">
        <v>102</v>
      </c>
      <c r="D79" s="168">
        <v>0</v>
      </c>
      <c r="E79" s="168">
        <v>0</v>
      </c>
      <c r="F79" s="168"/>
      <c r="G79" s="168"/>
      <c r="H79" s="168"/>
      <c r="I79" s="168"/>
      <c r="J79" s="168"/>
      <c r="K79" s="168"/>
      <c r="L79" s="168"/>
      <c r="M79" s="168"/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51.2</v>
      </c>
      <c r="T79" s="169">
        <f t="shared" si="39"/>
        <v>51.2</v>
      </c>
      <c r="U79" s="170">
        <v>0</v>
      </c>
      <c r="V79" s="170">
        <v>0</v>
      </c>
      <c r="W79" s="171">
        <f t="shared" si="35"/>
        <v>0</v>
      </c>
      <c r="X79" s="171">
        <f t="shared" si="36"/>
        <v>0</v>
      </c>
      <c r="Y79" s="171">
        <f t="shared" si="37"/>
        <v>0</v>
      </c>
      <c r="Z79" s="171">
        <f t="shared" si="38"/>
        <v>0</v>
      </c>
      <c r="AA79" s="137"/>
    </row>
    <row r="80" spans="1:27" ht="47.25" outlineLevel="1" x14ac:dyDescent="0.25">
      <c r="A80" s="177" t="s">
        <v>565</v>
      </c>
      <c r="B80" s="167" t="s">
        <v>755</v>
      </c>
      <c r="C80" s="168" t="s">
        <v>102</v>
      </c>
      <c r="D80" s="168">
        <v>0</v>
      </c>
      <c r="E80" s="168">
        <v>0</v>
      </c>
      <c r="F80" s="168"/>
      <c r="G80" s="168"/>
      <c r="H80" s="168"/>
      <c r="I80" s="168"/>
      <c r="J80" s="168"/>
      <c r="K80" s="168"/>
      <c r="L80" s="168"/>
      <c r="M80" s="168"/>
      <c r="N80" s="168">
        <v>36.700000000000003</v>
      </c>
      <c r="O80" s="168">
        <v>0</v>
      </c>
      <c r="P80" s="168">
        <v>0</v>
      </c>
      <c r="Q80" s="168">
        <v>0</v>
      </c>
      <c r="R80" s="168">
        <v>0</v>
      </c>
      <c r="S80" s="168">
        <v>0</v>
      </c>
      <c r="T80" s="169">
        <f t="shared" si="39"/>
        <v>36.700000000000003</v>
      </c>
      <c r="U80" s="170">
        <v>0</v>
      </c>
      <c r="V80" s="170">
        <v>0</v>
      </c>
      <c r="W80" s="171">
        <f t="shared" si="35"/>
        <v>0</v>
      </c>
      <c r="X80" s="171">
        <f t="shared" si="36"/>
        <v>0</v>
      </c>
      <c r="Y80" s="171">
        <f t="shared" si="37"/>
        <v>0</v>
      </c>
      <c r="Z80" s="171">
        <f t="shared" si="38"/>
        <v>0</v>
      </c>
      <c r="AA80" s="137"/>
    </row>
    <row r="81" spans="1:27" ht="63" outlineLevel="1" x14ac:dyDescent="0.25">
      <c r="A81" s="177" t="s">
        <v>566</v>
      </c>
      <c r="B81" s="167" t="s">
        <v>884</v>
      </c>
      <c r="C81" s="168" t="s">
        <v>102</v>
      </c>
      <c r="D81" s="168">
        <v>0</v>
      </c>
      <c r="E81" s="168">
        <v>0</v>
      </c>
      <c r="F81" s="168"/>
      <c r="G81" s="168"/>
      <c r="H81" s="168"/>
      <c r="I81" s="168"/>
      <c r="J81" s="168"/>
      <c r="K81" s="168"/>
      <c r="L81" s="168"/>
      <c r="M81" s="168">
        <v>9.1</v>
      </c>
      <c r="N81" s="168">
        <v>0</v>
      </c>
      <c r="O81" s="168">
        <v>0</v>
      </c>
      <c r="P81" s="168">
        <v>0</v>
      </c>
      <c r="Q81" s="168">
        <v>0</v>
      </c>
      <c r="R81" s="168">
        <v>0</v>
      </c>
      <c r="S81" s="168">
        <v>0</v>
      </c>
      <c r="T81" s="169">
        <f t="shared" si="39"/>
        <v>9.1</v>
      </c>
      <c r="U81" s="170">
        <v>0</v>
      </c>
      <c r="V81" s="170">
        <v>0</v>
      </c>
      <c r="W81" s="171">
        <f t="shared" si="35"/>
        <v>0</v>
      </c>
      <c r="X81" s="171">
        <f t="shared" si="36"/>
        <v>0</v>
      </c>
      <c r="Y81" s="171">
        <f t="shared" si="37"/>
        <v>0</v>
      </c>
      <c r="Z81" s="171">
        <f t="shared" si="38"/>
        <v>0</v>
      </c>
      <c r="AA81" s="137"/>
    </row>
    <row r="82" spans="1:27" ht="63" outlineLevel="1" x14ac:dyDescent="0.25">
      <c r="A82" s="177" t="s">
        <v>567</v>
      </c>
      <c r="B82" s="167" t="s">
        <v>883</v>
      </c>
      <c r="C82" s="168" t="s">
        <v>102</v>
      </c>
      <c r="D82" s="168">
        <v>0</v>
      </c>
      <c r="E82" s="168">
        <v>0</v>
      </c>
      <c r="F82" s="168"/>
      <c r="G82" s="168"/>
      <c r="H82" s="168"/>
      <c r="I82" s="168"/>
      <c r="J82" s="168">
        <v>26.5</v>
      </c>
      <c r="K82" s="168"/>
      <c r="L82" s="168"/>
      <c r="M82" s="168"/>
      <c r="N82" s="168">
        <v>0</v>
      </c>
      <c r="O82" s="168">
        <v>0</v>
      </c>
      <c r="P82" s="168">
        <v>0</v>
      </c>
      <c r="Q82" s="168">
        <v>8.6</v>
      </c>
      <c r="R82" s="168">
        <v>0</v>
      </c>
      <c r="S82" s="168">
        <v>0</v>
      </c>
      <c r="T82" s="169">
        <f t="shared" si="39"/>
        <v>35.1</v>
      </c>
      <c r="U82" s="170">
        <v>0</v>
      </c>
      <c r="V82" s="170">
        <v>0</v>
      </c>
      <c r="W82" s="171">
        <f t="shared" si="35"/>
        <v>0</v>
      </c>
      <c r="X82" s="171">
        <f t="shared" si="36"/>
        <v>0</v>
      </c>
      <c r="Y82" s="171">
        <f t="shared" si="37"/>
        <v>0</v>
      </c>
      <c r="Z82" s="171">
        <f t="shared" si="38"/>
        <v>0</v>
      </c>
      <c r="AA82" s="137"/>
    </row>
    <row r="83" spans="1:27" ht="47.25" outlineLevel="1" x14ac:dyDescent="0.25">
      <c r="A83" s="177" t="s">
        <v>568</v>
      </c>
      <c r="B83" s="167" t="s">
        <v>901</v>
      </c>
      <c r="C83" s="168" t="s">
        <v>102</v>
      </c>
      <c r="D83" s="168"/>
      <c r="E83" s="168"/>
      <c r="F83" s="168"/>
      <c r="G83" s="168">
        <v>5.14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9">
        <f t="shared" si="39"/>
        <v>5.14</v>
      </c>
      <c r="U83" s="170">
        <v>0</v>
      </c>
      <c r="V83" s="170">
        <v>0</v>
      </c>
      <c r="W83" s="171">
        <f t="shared" si="35"/>
        <v>0</v>
      </c>
      <c r="X83" s="171">
        <f t="shared" si="36"/>
        <v>0</v>
      </c>
      <c r="Y83" s="171">
        <f t="shared" si="37"/>
        <v>0</v>
      </c>
      <c r="Z83" s="171">
        <f t="shared" si="38"/>
        <v>0</v>
      </c>
      <c r="AA83" s="137"/>
    </row>
    <row r="84" spans="1:27" ht="63" outlineLevel="1" x14ac:dyDescent="0.25">
      <c r="A84" s="177" t="s">
        <v>569</v>
      </c>
      <c r="B84" s="167" t="s">
        <v>902</v>
      </c>
      <c r="C84" s="168" t="s">
        <v>102</v>
      </c>
      <c r="D84" s="168"/>
      <c r="E84" s="168"/>
      <c r="F84" s="168"/>
      <c r="G84" s="168"/>
      <c r="H84" s="168"/>
      <c r="I84" s="168"/>
      <c r="J84" s="168"/>
      <c r="K84" s="168"/>
      <c r="L84" s="168"/>
      <c r="M84" s="168">
        <v>8.3000000000000007</v>
      </c>
      <c r="N84" s="168"/>
      <c r="O84" s="168"/>
      <c r="P84" s="168"/>
      <c r="Q84" s="168"/>
      <c r="R84" s="168"/>
      <c r="S84" s="168"/>
      <c r="T84" s="169">
        <f t="shared" si="39"/>
        <v>8.3000000000000007</v>
      </c>
      <c r="U84" s="170">
        <v>0</v>
      </c>
      <c r="V84" s="170">
        <v>0</v>
      </c>
      <c r="W84" s="171">
        <f t="shared" si="35"/>
        <v>0</v>
      </c>
      <c r="X84" s="171">
        <f t="shared" si="36"/>
        <v>0</v>
      </c>
      <c r="Y84" s="171">
        <f t="shared" si="37"/>
        <v>0</v>
      </c>
      <c r="Z84" s="171">
        <f t="shared" si="38"/>
        <v>0</v>
      </c>
      <c r="AA84" s="137"/>
    </row>
    <row r="85" spans="1:27" ht="47.25" outlineLevel="1" x14ac:dyDescent="0.25">
      <c r="A85" s="177" t="s">
        <v>570</v>
      </c>
      <c r="B85" s="167" t="s">
        <v>818</v>
      </c>
      <c r="C85" s="168" t="s">
        <v>102</v>
      </c>
      <c r="D85" s="168">
        <v>0</v>
      </c>
      <c r="E85" s="168">
        <v>0</v>
      </c>
      <c r="F85" s="168"/>
      <c r="G85" s="168"/>
      <c r="H85" s="168"/>
      <c r="I85" s="168"/>
      <c r="J85" s="168"/>
      <c r="K85" s="168"/>
      <c r="L85" s="168"/>
      <c r="M85" s="168"/>
      <c r="N85" s="168">
        <v>0</v>
      </c>
      <c r="O85" s="168">
        <v>31.3</v>
      </c>
      <c r="P85" s="168">
        <v>0</v>
      </c>
      <c r="Q85" s="168">
        <v>0</v>
      </c>
      <c r="R85" s="168">
        <v>0</v>
      </c>
      <c r="S85" s="168">
        <v>0</v>
      </c>
      <c r="T85" s="169">
        <f t="shared" si="39"/>
        <v>31.3</v>
      </c>
      <c r="U85" s="170">
        <v>0</v>
      </c>
      <c r="V85" s="170">
        <v>0</v>
      </c>
      <c r="W85" s="171">
        <f t="shared" si="35"/>
        <v>0</v>
      </c>
      <c r="X85" s="171">
        <f t="shared" si="36"/>
        <v>0</v>
      </c>
      <c r="Y85" s="171">
        <f t="shared" si="37"/>
        <v>0</v>
      </c>
      <c r="Z85" s="171">
        <f t="shared" si="38"/>
        <v>0</v>
      </c>
      <c r="AA85" s="137"/>
    </row>
    <row r="86" spans="1:27" ht="47.25" outlineLevel="1" x14ac:dyDescent="0.25">
      <c r="A86" s="177" t="s">
        <v>571</v>
      </c>
      <c r="B86" s="167" t="s">
        <v>819</v>
      </c>
      <c r="C86" s="168" t="s">
        <v>102</v>
      </c>
      <c r="D86" s="168">
        <v>0</v>
      </c>
      <c r="E86" s="168">
        <v>0</v>
      </c>
      <c r="F86" s="168"/>
      <c r="G86" s="168"/>
      <c r="H86" s="168"/>
      <c r="I86" s="168"/>
      <c r="J86" s="168"/>
      <c r="K86" s="168"/>
      <c r="L86" s="168"/>
      <c r="M86" s="168"/>
      <c r="N86" s="168">
        <v>0</v>
      </c>
      <c r="O86" s="168">
        <v>0</v>
      </c>
      <c r="P86" s="168">
        <v>0</v>
      </c>
      <c r="Q86" s="168">
        <v>21.3</v>
      </c>
      <c r="R86" s="168">
        <v>39</v>
      </c>
      <c r="S86" s="168">
        <v>0</v>
      </c>
      <c r="T86" s="169">
        <f t="shared" si="39"/>
        <v>60.3</v>
      </c>
      <c r="U86" s="170">
        <v>0</v>
      </c>
      <c r="V86" s="170">
        <v>0</v>
      </c>
      <c r="W86" s="171">
        <f t="shared" si="35"/>
        <v>0</v>
      </c>
      <c r="X86" s="171">
        <f t="shared" si="36"/>
        <v>0</v>
      </c>
      <c r="Y86" s="171">
        <f t="shared" si="37"/>
        <v>0</v>
      </c>
      <c r="Z86" s="171">
        <f t="shared" si="38"/>
        <v>0</v>
      </c>
      <c r="AA86" s="137"/>
    </row>
    <row r="87" spans="1:27" ht="63" outlineLevel="1" x14ac:dyDescent="0.25">
      <c r="A87" s="177" t="s">
        <v>572</v>
      </c>
      <c r="B87" s="167" t="s">
        <v>903</v>
      </c>
      <c r="C87" s="168" t="s">
        <v>102</v>
      </c>
      <c r="D87" s="168"/>
      <c r="E87" s="168"/>
      <c r="F87" s="168"/>
      <c r="G87" s="168">
        <v>17.8</v>
      </c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9">
        <f t="shared" si="39"/>
        <v>17.8</v>
      </c>
      <c r="U87" s="170">
        <v>0</v>
      </c>
      <c r="V87" s="170">
        <v>0</v>
      </c>
      <c r="W87" s="171">
        <f t="shared" si="35"/>
        <v>0</v>
      </c>
      <c r="X87" s="171">
        <f t="shared" si="36"/>
        <v>0</v>
      </c>
      <c r="Y87" s="171">
        <f t="shared" si="37"/>
        <v>0</v>
      </c>
      <c r="Z87" s="171">
        <f t="shared" si="38"/>
        <v>0</v>
      </c>
      <c r="AA87" s="137"/>
    </row>
    <row r="88" spans="1:27" ht="47.25" outlineLevel="1" x14ac:dyDescent="0.25">
      <c r="A88" s="177" t="s">
        <v>573</v>
      </c>
      <c r="B88" s="167" t="s">
        <v>820</v>
      </c>
      <c r="C88" s="168" t="s">
        <v>102</v>
      </c>
      <c r="D88" s="168">
        <v>0</v>
      </c>
      <c r="E88" s="168">
        <v>0</v>
      </c>
      <c r="F88" s="168"/>
      <c r="G88" s="168"/>
      <c r="H88" s="168"/>
      <c r="I88" s="168"/>
      <c r="J88" s="168"/>
      <c r="K88" s="168"/>
      <c r="L88" s="168"/>
      <c r="M88" s="168"/>
      <c r="N88" s="168">
        <v>0</v>
      </c>
      <c r="O88" s="168">
        <v>0</v>
      </c>
      <c r="P88" s="168">
        <v>0</v>
      </c>
      <c r="Q88" s="168">
        <v>6</v>
      </c>
      <c r="R88" s="168">
        <v>0</v>
      </c>
      <c r="S88" s="168">
        <v>0</v>
      </c>
      <c r="T88" s="169">
        <f t="shared" si="39"/>
        <v>6</v>
      </c>
      <c r="U88" s="170">
        <v>0</v>
      </c>
      <c r="V88" s="170">
        <v>0</v>
      </c>
      <c r="W88" s="171">
        <f t="shared" si="35"/>
        <v>0</v>
      </c>
      <c r="X88" s="171">
        <f t="shared" si="36"/>
        <v>0</v>
      </c>
      <c r="Y88" s="171">
        <f t="shared" si="37"/>
        <v>0</v>
      </c>
      <c r="Z88" s="171">
        <f t="shared" si="38"/>
        <v>0</v>
      </c>
      <c r="AA88" s="137"/>
    </row>
    <row r="89" spans="1:27" s="206" customFormat="1" ht="15.75" outlineLevel="1" x14ac:dyDescent="0.25">
      <c r="A89" s="179" t="s">
        <v>99</v>
      </c>
      <c r="B89" s="180" t="s">
        <v>540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2"/>
      <c r="X89" s="207">
        <f>SUBTOTAL(9,X90:X101)</f>
        <v>0</v>
      </c>
      <c r="Y89" s="207">
        <f t="shared" ref="Y89:Z89" si="40">SUBTOTAL(9,Y90:Y101)</f>
        <v>0</v>
      </c>
      <c r="Z89" s="207">
        <f t="shared" si="40"/>
        <v>0</v>
      </c>
      <c r="AA89" s="139"/>
    </row>
    <row r="90" spans="1:27" ht="47.25" outlineLevel="1" x14ac:dyDescent="0.25">
      <c r="A90" s="177" t="s">
        <v>580</v>
      </c>
      <c r="B90" s="167" t="s">
        <v>692</v>
      </c>
      <c r="C90" s="168" t="s">
        <v>98</v>
      </c>
      <c r="D90" s="168">
        <v>0</v>
      </c>
      <c r="E90" s="168">
        <v>0</v>
      </c>
      <c r="F90" s="168"/>
      <c r="G90" s="168"/>
      <c r="H90" s="168">
        <v>16</v>
      </c>
      <c r="I90" s="168"/>
      <c r="J90" s="168"/>
      <c r="K90" s="168"/>
      <c r="L90" s="168"/>
      <c r="M90" s="168"/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9">
        <f t="shared" si="39"/>
        <v>16</v>
      </c>
      <c r="U90" s="170">
        <v>0</v>
      </c>
      <c r="V90" s="170">
        <v>0</v>
      </c>
      <c r="W90" s="171">
        <f t="shared" ref="W90" si="41">V90+U90</f>
        <v>0</v>
      </c>
      <c r="X90" s="171">
        <f t="shared" ref="X90" si="42">$T90*U90</f>
        <v>0</v>
      </c>
      <c r="Y90" s="171">
        <f t="shared" ref="Y90" si="43">$T90*V90</f>
        <v>0</v>
      </c>
      <c r="Z90" s="171">
        <f t="shared" ref="Z90" si="44">Y90+X90</f>
        <v>0</v>
      </c>
      <c r="AA90" s="137"/>
    </row>
    <row r="91" spans="1:27" ht="47.25" outlineLevel="1" x14ac:dyDescent="0.25">
      <c r="A91" s="177" t="s">
        <v>581</v>
      </c>
      <c r="B91" s="167" t="s">
        <v>700</v>
      </c>
      <c r="C91" s="168" t="s">
        <v>98</v>
      </c>
      <c r="D91" s="168">
        <v>0</v>
      </c>
      <c r="E91" s="168">
        <v>0</v>
      </c>
      <c r="F91" s="168">
        <v>2</v>
      </c>
      <c r="G91" s="168"/>
      <c r="H91" s="168"/>
      <c r="I91" s="168"/>
      <c r="J91" s="168"/>
      <c r="K91" s="168"/>
      <c r="L91" s="168"/>
      <c r="M91" s="168"/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9">
        <f t="shared" si="39"/>
        <v>2</v>
      </c>
      <c r="U91" s="170">
        <v>0</v>
      </c>
      <c r="V91" s="170">
        <v>0</v>
      </c>
      <c r="W91" s="171">
        <f t="shared" ref="W91:W101" si="45">V91+U91</f>
        <v>0</v>
      </c>
      <c r="X91" s="171">
        <f t="shared" ref="X91:X101" si="46">$T91*U91</f>
        <v>0</v>
      </c>
      <c r="Y91" s="171">
        <f t="shared" ref="Y91:Y101" si="47">$T91*V91</f>
        <v>0</v>
      </c>
      <c r="Z91" s="171">
        <f t="shared" ref="Z91:Z101" si="48">Y91+X91</f>
        <v>0</v>
      </c>
      <c r="AA91" s="137"/>
    </row>
    <row r="92" spans="1:27" ht="47.25" outlineLevel="1" x14ac:dyDescent="0.25">
      <c r="A92" s="177" t="s">
        <v>582</v>
      </c>
      <c r="B92" s="167" t="s">
        <v>807</v>
      </c>
      <c r="C92" s="168" t="s">
        <v>98</v>
      </c>
      <c r="D92" s="168">
        <v>0</v>
      </c>
      <c r="E92" s="168">
        <v>0</v>
      </c>
      <c r="F92" s="168"/>
      <c r="G92" s="168"/>
      <c r="H92" s="168"/>
      <c r="I92" s="168"/>
      <c r="J92" s="168"/>
      <c r="K92" s="168"/>
      <c r="L92" s="168"/>
      <c r="M92" s="168"/>
      <c r="N92" s="168">
        <v>0</v>
      </c>
      <c r="O92" s="168">
        <v>0</v>
      </c>
      <c r="P92" s="168">
        <v>2</v>
      </c>
      <c r="Q92" s="168">
        <v>0</v>
      </c>
      <c r="R92" s="168">
        <v>0</v>
      </c>
      <c r="S92" s="168">
        <v>0</v>
      </c>
      <c r="T92" s="169">
        <f t="shared" si="39"/>
        <v>2</v>
      </c>
      <c r="U92" s="170">
        <v>0</v>
      </c>
      <c r="V92" s="170">
        <v>0</v>
      </c>
      <c r="W92" s="171">
        <f t="shared" si="45"/>
        <v>0</v>
      </c>
      <c r="X92" s="171">
        <f t="shared" si="46"/>
        <v>0</v>
      </c>
      <c r="Y92" s="171">
        <f t="shared" si="47"/>
        <v>0</v>
      </c>
      <c r="Z92" s="171">
        <f t="shared" si="48"/>
        <v>0</v>
      </c>
      <c r="AA92" s="137"/>
    </row>
    <row r="93" spans="1:27" ht="47.25" outlineLevel="1" x14ac:dyDescent="0.25">
      <c r="A93" s="177" t="s">
        <v>583</v>
      </c>
      <c r="B93" s="167" t="s">
        <v>701</v>
      </c>
      <c r="C93" s="168" t="s">
        <v>98</v>
      </c>
      <c r="D93" s="168">
        <v>0</v>
      </c>
      <c r="E93" s="168">
        <v>0</v>
      </c>
      <c r="F93" s="168"/>
      <c r="G93" s="168"/>
      <c r="H93" s="168"/>
      <c r="I93" s="168"/>
      <c r="J93" s="168"/>
      <c r="K93" s="168"/>
      <c r="L93" s="168">
        <v>8</v>
      </c>
      <c r="M93" s="168">
        <v>5</v>
      </c>
      <c r="N93" s="168">
        <v>11</v>
      </c>
      <c r="O93" s="168">
        <v>6</v>
      </c>
      <c r="P93" s="168">
        <v>0</v>
      </c>
      <c r="Q93" s="168">
        <v>5</v>
      </c>
      <c r="R93" s="168">
        <v>1</v>
      </c>
      <c r="S93" s="168">
        <v>2</v>
      </c>
      <c r="T93" s="169">
        <f t="shared" si="39"/>
        <v>38</v>
      </c>
      <c r="U93" s="170">
        <v>0</v>
      </c>
      <c r="V93" s="170">
        <v>0</v>
      </c>
      <c r="W93" s="171">
        <f t="shared" si="45"/>
        <v>0</v>
      </c>
      <c r="X93" s="171">
        <f t="shared" si="46"/>
        <v>0</v>
      </c>
      <c r="Y93" s="171">
        <f t="shared" si="47"/>
        <v>0</v>
      </c>
      <c r="Z93" s="171">
        <f t="shared" si="48"/>
        <v>0</v>
      </c>
      <c r="AA93" s="140"/>
    </row>
    <row r="94" spans="1:27" ht="47.25" outlineLevel="1" x14ac:dyDescent="0.25">
      <c r="A94" s="177" t="s">
        <v>584</v>
      </c>
      <c r="B94" s="167" t="s">
        <v>749</v>
      </c>
      <c r="C94" s="168" t="s">
        <v>98</v>
      </c>
      <c r="D94" s="168">
        <v>4</v>
      </c>
      <c r="E94" s="168">
        <v>0</v>
      </c>
      <c r="F94" s="168"/>
      <c r="G94" s="168"/>
      <c r="H94" s="168"/>
      <c r="I94" s="168"/>
      <c r="J94" s="168"/>
      <c r="K94" s="168"/>
      <c r="L94" s="168"/>
      <c r="M94" s="168"/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9">
        <f t="shared" si="39"/>
        <v>4</v>
      </c>
      <c r="U94" s="170">
        <v>0</v>
      </c>
      <c r="V94" s="170">
        <v>0</v>
      </c>
      <c r="W94" s="171">
        <f t="shared" si="45"/>
        <v>0</v>
      </c>
      <c r="X94" s="171">
        <f t="shared" si="46"/>
        <v>0</v>
      </c>
      <c r="Y94" s="171">
        <f t="shared" si="47"/>
        <v>0</v>
      </c>
      <c r="Z94" s="171">
        <f t="shared" si="48"/>
        <v>0</v>
      </c>
      <c r="AA94" s="140"/>
    </row>
    <row r="95" spans="1:27" ht="47.25" outlineLevel="1" x14ac:dyDescent="0.25">
      <c r="A95" s="177" t="s">
        <v>585</v>
      </c>
      <c r="B95" s="167" t="s">
        <v>904</v>
      </c>
      <c r="C95" s="168" t="s">
        <v>98</v>
      </c>
      <c r="D95" s="168"/>
      <c r="E95" s="168"/>
      <c r="F95" s="168">
        <v>1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9">
        <f t="shared" si="39"/>
        <v>1</v>
      </c>
      <c r="U95" s="170">
        <v>0</v>
      </c>
      <c r="V95" s="170">
        <v>0</v>
      </c>
      <c r="W95" s="171">
        <f t="shared" si="45"/>
        <v>0</v>
      </c>
      <c r="X95" s="171">
        <f t="shared" si="46"/>
        <v>0</v>
      </c>
      <c r="Y95" s="171">
        <f t="shared" si="47"/>
        <v>0</v>
      </c>
      <c r="Z95" s="171">
        <f t="shared" si="48"/>
        <v>0</v>
      </c>
      <c r="AA95" s="140"/>
    </row>
    <row r="96" spans="1:27" ht="47.25" outlineLevel="1" x14ac:dyDescent="0.25">
      <c r="A96" s="177" t="s">
        <v>586</v>
      </c>
      <c r="B96" s="167" t="s">
        <v>784</v>
      </c>
      <c r="C96" s="168" t="s">
        <v>98</v>
      </c>
      <c r="D96" s="168">
        <v>0</v>
      </c>
      <c r="E96" s="168">
        <v>0</v>
      </c>
      <c r="F96" s="168"/>
      <c r="G96" s="168"/>
      <c r="H96" s="168"/>
      <c r="I96" s="168"/>
      <c r="J96" s="168"/>
      <c r="K96" s="168"/>
      <c r="L96" s="168"/>
      <c r="M96" s="168"/>
      <c r="N96" s="168">
        <v>1</v>
      </c>
      <c r="O96" s="168">
        <v>0</v>
      </c>
      <c r="P96" s="168">
        <v>0</v>
      </c>
      <c r="Q96" s="168">
        <v>0</v>
      </c>
      <c r="R96" s="168">
        <v>0</v>
      </c>
      <c r="S96" s="168">
        <v>0</v>
      </c>
      <c r="T96" s="169">
        <f t="shared" si="39"/>
        <v>1</v>
      </c>
      <c r="U96" s="170">
        <v>0</v>
      </c>
      <c r="V96" s="170">
        <v>0</v>
      </c>
      <c r="W96" s="171">
        <f t="shared" si="45"/>
        <v>0</v>
      </c>
      <c r="X96" s="171">
        <f t="shared" si="46"/>
        <v>0</v>
      </c>
      <c r="Y96" s="171">
        <f t="shared" si="47"/>
        <v>0</v>
      </c>
      <c r="Z96" s="171">
        <f t="shared" si="48"/>
        <v>0</v>
      </c>
      <c r="AA96" s="140"/>
    </row>
    <row r="97" spans="1:27" ht="47.25" outlineLevel="1" x14ac:dyDescent="0.25">
      <c r="A97" s="177" t="s">
        <v>587</v>
      </c>
      <c r="B97" s="167" t="s">
        <v>702</v>
      </c>
      <c r="C97" s="168" t="s">
        <v>98</v>
      </c>
      <c r="D97" s="168">
        <v>0</v>
      </c>
      <c r="E97" s="168">
        <v>0</v>
      </c>
      <c r="F97" s="168"/>
      <c r="G97" s="168"/>
      <c r="H97" s="168"/>
      <c r="I97" s="168"/>
      <c r="J97" s="168"/>
      <c r="K97" s="168"/>
      <c r="L97" s="168">
        <v>1</v>
      </c>
      <c r="M97" s="168"/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68">
        <v>0</v>
      </c>
      <c r="T97" s="169">
        <f t="shared" si="39"/>
        <v>1</v>
      </c>
      <c r="U97" s="170">
        <v>0</v>
      </c>
      <c r="V97" s="170">
        <v>0</v>
      </c>
      <c r="W97" s="171">
        <f t="shared" si="45"/>
        <v>0</v>
      </c>
      <c r="X97" s="171">
        <f t="shared" si="46"/>
        <v>0</v>
      </c>
      <c r="Y97" s="171">
        <f t="shared" si="47"/>
        <v>0</v>
      </c>
      <c r="Z97" s="171">
        <f t="shared" si="48"/>
        <v>0</v>
      </c>
      <c r="AA97" s="140"/>
    </row>
    <row r="98" spans="1:27" ht="47.25" outlineLevel="1" x14ac:dyDescent="0.25">
      <c r="A98" s="177" t="s">
        <v>588</v>
      </c>
      <c r="B98" s="167" t="s">
        <v>808</v>
      </c>
      <c r="C98" s="168" t="s">
        <v>98</v>
      </c>
      <c r="D98" s="168">
        <v>0</v>
      </c>
      <c r="E98" s="168">
        <v>0</v>
      </c>
      <c r="F98" s="168"/>
      <c r="G98" s="168"/>
      <c r="H98" s="168"/>
      <c r="I98" s="168"/>
      <c r="J98" s="168"/>
      <c r="K98" s="168"/>
      <c r="L98" s="168"/>
      <c r="M98" s="168"/>
      <c r="N98" s="168">
        <v>0</v>
      </c>
      <c r="O98" s="168">
        <v>0</v>
      </c>
      <c r="P98" s="168">
        <v>6</v>
      </c>
      <c r="Q98" s="168">
        <v>0</v>
      </c>
      <c r="R98" s="168">
        <v>0</v>
      </c>
      <c r="S98" s="168">
        <v>0</v>
      </c>
      <c r="T98" s="169">
        <f t="shared" si="39"/>
        <v>6</v>
      </c>
      <c r="U98" s="170">
        <v>0</v>
      </c>
      <c r="V98" s="170">
        <v>0</v>
      </c>
      <c r="W98" s="171">
        <f t="shared" si="45"/>
        <v>0</v>
      </c>
      <c r="X98" s="171">
        <f t="shared" si="46"/>
        <v>0</v>
      </c>
      <c r="Y98" s="171">
        <f t="shared" si="47"/>
        <v>0</v>
      </c>
      <c r="Z98" s="171">
        <f t="shared" si="48"/>
        <v>0</v>
      </c>
      <c r="AA98" s="140"/>
    </row>
    <row r="99" spans="1:27" ht="47.25" outlineLevel="1" x14ac:dyDescent="0.25">
      <c r="A99" s="177" t="s">
        <v>589</v>
      </c>
      <c r="B99" s="167" t="s">
        <v>791</v>
      </c>
      <c r="C99" s="168" t="s">
        <v>98</v>
      </c>
      <c r="D99" s="168">
        <v>0</v>
      </c>
      <c r="E99" s="168">
        <v>0</v>
      </c>
      <c r="F99" s="168"/>
      <c r="G99" s="168"/>
      <c r="H99" s="168"/>
      <c r="I99" s="168"/>
      <c r="J99" s="168"/>
      <c r="K99" s="168"/>
      <c r="L99" s="168"/>
      <c r="M99" s="168"/>
      <c r="N99" s="168">
        <v>2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  <c r="T99" s="169">
        <f t="shared" si="39"/>
        <v>2</v>
      </c>
      <c r="U99" s="170">
        <v>0</v>
      </c>
      <c r="V99" s="170">
        <v>0</v>
      </c>
      <c r="W99" s="171">
        <f t="shared" si="45"/>
        <v>0</v>
      </c>
      <c r="X99" s="171">
        <f t="shared" si="46"/>
        <v>0</v>
      </c>
      <c r="Y99" s="171">
        <f t="shared" si="47"/>
        <v>0</v>
      </c>
      <c r="Z99" s="171">
        <f t="shared" si="48"/>
        <v>0</v>
      </c>
      <c r="AA99" s="140"/>
    </row>
    <row r="100" spans="1:27" ht="47.25" outlineLevel="1" x14ac:dyDescent="0.25">
      <c r="A100" s="177" t="s">
        <v>590</v>
      </c>
      <c r="B100" s="167" t="s">
        <v>792</v>
      </c>
      <c r="C100" s="168" t="s">
        <v>98</v>
      </c>
      <c r="D100" s="168">
        <v>0</v>
      </c>
      <c r="E100" s="168">
        <v>0</v>
      </c>
      <c r="F100" s="168"/>
      <c r="G100" s="168"/>
      <c r="H100" s="168"/>
      <c r="I100" s="168"/>
      <c r="J100" s="168"/>
      <c r="K100" s="168"/>
      <c r="L100" s="168"/>
      <c r="M100" s="168"/>
      <c r="N100" s="168">
        <v>7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  <c r="T100" s="169">
        <f t="shared" si="39"/>
        <v>7</v>
      </c>
      <c r="U100" s="170">
        <v>0</v>
      </c>
      <c r="V100" s="170">
        <v>0</v>
      </c>
      <c r="W100" s="171">
        <f t="shared" si="45"/>
        <v>0</v>
      </c>
      <c r="X100" s="171">
        <f t="shared" si="46"/>
        <v>0</v>
      </c>
      <c r="Y100" s="171">
        <f t="shared" si="47"/>
        <v>0</v>
      </c>
      <c r="Z100" s="171">
        <f t="shared" si="48"/>
        <v>0</v>
      </c>
      <c r="AA100" s="140"/>
    </row>
    <row r="101" spans="1:27" ht="47.25" outlineLevel="1" x14ac:dyDescent="0.25">
      <c r="A101" s="177" t="s">
        <v>839</v>
      </c>
      <c r="B101" s="167" t="s">
        <v>703</v>
      </c>
      <c r="C101" s="168" t="s">
        <v>98</v>
      </c>
      <c r="D101" s="168">
        <v>0</v>
      </c>
      <c r="E101" s="168">
        <v>0</v>
      </c>
      <c r="F101" s="168"/>
      <c r="G101" s="168"/>
      <c r="H101" s="168"/>
      <c r="I101" s="168"/>
      <c r="J101" s="168"/>
      <c r="K101" s="168"/>
      <c r="L101" s="168">
        <v>1</v>
      </c>
      <c r="M101" s="168"/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  <c r="T101" s="169">
        <f t="shared" si="39"/>
        <v>1</v>
      </c>
      <c r="U101" s="170">
        <v>0</v>
      </c>
      <c r="V101" s="170">
        <v>0</v>
      </c>
      <c r="W101" s="171">
        <f t="shared" si="45"/>
        <v>0</v>
      </c>
      <c r="X101" s="171">
        <f t="shared" si="46"/>
        <v>0</v>
      </c>
      <c r="Y101" s="171">
        <f t="shared" si="47"/>
        <v>0</v>
      </c>
      <c r="Z101" s="171">
        <f t="shared" si="48"/>
        <v>0</v>
      </c>
      <c r="AA101" s="140"/>
    </row>
    <row r="102" spans="1:27" s="75" customFormat="1" ht="15.75" outlineLevel="1" x14ac:dyDescent="0.25">
      <c r="A102" s="179" t="s">
        <v>100</v>
      </c>
      <c r="B102" s="180" t="s">
        <v>541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2"/>
      <c r="X102" s="207">
        <f>SUBTOTAL(9,X103:X116)</f>
        <v>0</v>
      </c>
      <c r="Y102" s="207">
        <f t="shared" ref="Y102:Z102" si="49">SUBTOTAL(9,Y103:Y116)</f>
        <v>0</v>
      </c>
      <c r="Z102" s="207">
        <f t="shared" si="49"/>
        <v>0</v>
      </c>
      <c r="AA102" s="139"/>
    </row>
    <row r="103" spans="1:27" ht="63" outlineLevel="1" x14ac:dyDescent="0.25">
      <c r="A103" s="177" t="s">
        <v>591</v>
      </c>
      <c r="B103" s="167" t="s">
        <v>753</v>
      </c>
      <c r="C103" s="168" t="s">
        <v>98</v>
      </c>
      <c r="D103" s="168">
        <v>0</v>
      </c>
      <c r="E103" s="168">
        <v>4</v>
      </c>
      <c r="F103" s="168"/>
      <c r="G103" s="168"/>
      <c r="H103" s="168"/>
      <c r="I103" s="168"/>
      <c r="J103" s="168"/>
      <c r="K103" s="168"/>
      <c r="L103" s="168"/>
      <c r="M103" s="168"/>
      <c r="N103" s="168">
        <v>0</v>
      </c>
      <c r="O103" s="168">
        <v>0</v>
      </c>
      <c r="P103" s="168">
        <v>0</v>
      </c>
      <c r="Q103" s="168">
        <v>0</v>
      </c>
      <c r="R103" s="168">
        <v>0</v>
      </c>
      <c r="S103" s="168">
        <v>0</v>
      </c>
      <c r="T103" s="169">
        <f t="shared" si="39"/>
        <v>4</v>
      </c>
      <c r="U103" s="170">
        <v>0</v>
      </c>
      <c r="V103" s="170">
        <v>0</v>
      </c>
      <c r="W103" s="171">
        <f t="shared" ref="W103" si="50">V103+U103</f>
        <v>0</v>
      </c>
      <c r="X103" s="171">
        <f t="shared" ref="X103" si="51">$T103*U103</f>
        <v>0</v>
      </c>
      <c r="Y103" s="171">
        <f t="shared" ref="Y103" si="52">$T103*V103</f>
        <v>0</v>
      </c>
      <c r="Z103" s="171">
        <f t="shared" ref="Z103" si="53">Y103+X103</f>
        <v>0</v>
      </c>
      <c r="AA103" s="140"/>
    </row>
    <row r="104" spans="1:27" ht="63" outlineLevel="1" x14ac:dyDescent="0.25">
      <c r="A104" s="177" t="s">
        <v>592</v>
      </c>
      <c r="B104" s="167" t="s">
        <v>783</v>
      </c>
      <c r="C104" s="168" t="s">
        <v>98</v>
      </c>
      <c r="D104" s="168">
        <v>0</v>
      </c>
      <c r="E104" s="168">
        <v>0</v>
      </c>
      <c r="F104" s="168"/>
      <c r="G104" s="168"/>
      <c r="H104" s="168"/>
      <c r="I104" s="168"/>
      <c r="J104" s="168"/>
      <c r="K104" s="168"/>
      <c r="L104" s="168"/>
      <c r="M104" s="168"/>
      <c r="N104" s="168">
        <v>1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  <c r="T104" s="169">
        <f t="shared" si="39"/>
        <v>1</v>
      </c>
      <c r="U104" s="170">
        <v>0</v>
      </c>
      <c r="V104" s="170">
        <v>0</v>
      </c>
      <c r="W104" s="171">
        <f t="shared" ref="W104:W116" si="54">V104+U104</f>
        <v>0</v>
      </c>
      <c r="X104" s="171">
        <f t="shared" ref="X104:X116" si="55">$T104*U104</f>
        <v>0</v>
      </c>
      <c r="Y104" s="171">
        <f t="shared" ref="Y104:Y116" si="56">$T104*V104</f>
        <v>0</v>
      </c>
      <c r="Z104" s="171">
        <f t="shared" ref="Z104:Z116" si="57">Y104+X104</f>
        <v>0</v>
      </c>
      <c r="AA104" s="140"/>
    </row>
    <row r="105" spans="1:27" ht="63" outlineLevel="1" x14ac:dyDescent="0.25">
      <c r="A105" s="177" t="s">
        <v>594</v>
      </c>
      <c r="B105" s="167" t="s">
        <v>802</v>
      </c>
      <c r="C105" s="168" t="s">
        <v>98</v>
      </c>
      <c r="D105" s="168">
        <v>0</v>
      </c>
      <c r="E105" s="168">
        <v>0</v>
      </c>
      <c r="F105" s="168"/>
      <c r="G105" s="168"/>
      <c r="H105" s="168"/>
      <c r="I105" s="168"/>
      <c r="J105" s="168"/>
      <c r="K105" s="168"/>
      <c r="L105" s="168">
        <v>1</v>
      </c>
      <c r="M105" s="168">
        <v>6</v>
      </c>
      <c r="N105" s="168">
        <v>0</v>
      </c>
      <c r="O105" s="168">
        <v>1</v>
      </c>
      <c r="P105" s="168">
        <v>0</v>
      </c>
      <c r="Q105" s="168">
        <v>2</v>
      </c>
      <c r="R105" s="168">
        <v>12</v>
      </c>
      <c r="S105" s="168">
        <v>35</v>
      </c>
      <c r="T105" s="169">
        <f t="shared" si="39"/>
        <v>57</v>
      </c>
      <c r="U105" s="170">
        <v>0</v>
      </c>
      <c r="V105" s="170">
        <v>0</v>
      </c>
      <c r="W105" s="171">
        <f t="shared" si="54"/>
        <v>0</v>
      </c>
      <c r="X105" s="171">
        <f t="shared" si="55"/>
        <v>0</v>
      </c>
      <c r="Y105" s="171">
        <f t="shared" si="56"/>
        <v>0</v>
      </c>
      <c r="Z105" s="171">
        <f t="shared" si="57"/>
        <v>0</v>
      </c>
      <c r="AA105" s="140"/>
    </row>
    <row r="106" spans="1:27" ht="63" outlineLevel="1" x14ac:dyDescent="0.25">
      <c r="A106" s="177" t="s">
        <v>593</v>
      </c>
      <c r="B106" s="167" t="s">
        <v>905</v>
      </c>
      <c r="C106" s="168" t="s">
        <v>98</v>
      </c>
      <c r="D106" s="168"/>
      <c r="E106" s="168"/>
      <c r="F106" s="168"/>
      <c r="G106" s="168"/>
      <c r="H106" s="168"/>
      <c r="I106" s="168"/>
      <c r="J106" s="168">
        <v>5</v>
      </c>
      <c r="K106" s="168"/>
      <c r="L106" s="168">
        <v>1</v>
      </c>
      <c r="M106" s="168"/>
      <c r="N106" s="168"/>
      <c r="O106" s="168"/>
      <c r="P106" s="168"/>
      <c r="Q106" s="168"/>
      <c r="R106" s="168"/>
      <c r="S106" s="168"/>
      <c r="T106" s="169">
        <f t="shared" si="39"/>
        <v>6</v>
      </c>
      <c r="U106" s="170">
        <v>0</v>
      </c>
      <c r="V106" s="170">
        <v>0</v>
      </c>
      <c r="W106" s="171">
        <f t="shared" si="54"/>
        <v>0</v>
      </c>
      <c r="X106" s="171">
        <f t="shared" si="55"/>
        <v>0</v>
      </c>
      <c r="Y106" s="171">
        <f t="shared" si="56"/>
        <v>0</v>
      </c>
      <c r="Z106" s="171">
        <f t="shared" si="57"/>
        <v>0</v>
      </c>
      <c r="AA106" s="140"/>
    </row>
    <row r="107" spans="1:27" ht="63" outlineLevel="1" x14ac:dyDescent="0.25">
      <c r="A107" s="177" t="s">
        <v>595</v>
      </c>
      <c r="B107" s="167" t="s">
        <v>752</v>
      </c>
      <c r="C107" s="168" t="s">
        <v>98</v>
      </c>
      <c r="D107" s="168">
        <v>0</v>
      </c>
      <c r="E107" s="168">
        <v>5</v>
      </c>
      <c r="F107" s="168"/>
      <c r="G107" s="168"/>
      <c r="H107" s="168"/>
      <c r="I107" s="168"/>
      <c r="J107" s="168"/>
      <c r="K107" s="168"/>
      <c r="L107" s="168"/>
      <c r="M107" s="168"/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  <c r="T107" s="169">
        <f t="shared" si="39"/>
        <v>5</v>
      </c>
      <c r="U107" s="170">
        <v>0</v>
      </c>
      <c r="V107" s="170">
        <v>0</v>
      </c>
      <c r="W107" s="171">
        <f t="shared" si="54"/>
        <v>0</v>
      </c>
      <c r="X107" s="171">
        <f t="shared" si="55"/>
        <v>0</v>
      </c>
      <c r="Y107" s="171">
        <f t="shared" si="56"/>
        <v>0</v>
      </c>
      <c r="Z107" s="171">
        <f t="shared" si="57"/>
        <v>0</v>
      </c>
      <c r="AA107" s="140"/>
    </row>
    <row r="108" spans="1:27" ht="63" outlineLevel="1" x14ac:dyDescent="0.25">
      <c r="A108" s="177" t="s">
        <v>596</v>
      </c>
      <c r="B108" s="167" t="s">
        <v>716</v>
      </c>
      <c r="C108" s="168" t="s">
        <v>98</v>
      </c>
      <c r="D108" s="168">
        <v>0</v>
      </c>
      <c r="E108" s="168">
        <v>0</v>
      </c>
      <c r="F108" s="168"/>
      <c r="G108" s="168"/>
      <c r="H108" s="168">
        <v>3</v>
      </c>
      <c r="I108" s="168"/>
      <c r="J108" s="168"/>
      <c r="K108" s="168"/>
      <c r="L108" s="168"/>
      <c r="M108" s="168"/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  <c r="T108" s="169">
        <f t="shared" si="39"/>
        <v>3</v>
      </c>
      <c r="U108" s="170">
        <v>0</v>
      </c>
      <c r="V108" s="170">
        <v>0</v>
      </c>
      <c r="W108" s="171">
        <f t="shared" si="54"/>
        <v>0</v>
      </c>
      <c r="X108" s="171">
        <f t="shared" si="55"/>
        <v>0</v>
      </c>
      <c r="Y108" s="171">
        <f t="shared" si="56"/>
        <v>0</v>
      </c>
      <c r="Z108" s="171">
        <f t="shared" si="57"/>
        <v>0</v>
      </c>
      <c r="AA108" s="140"/>
    </row>
    <row r="109" spans="1:27" ht="63" outlineLevel="1" x14ac:dyDescent="0.25">
      <c r="A109" s="177" t="s">
        <v>597</v>
      </c>
      <c r="B109" s="167" t="s">
        <v>809</v>
      </c>
      <c r="C109" s="168" t="s">
        <v>98</v>
      </c>
      <c r="D109" s="168">
        <v>0</v>
      </c>
      <c r="E109" s="168">
        <v>0</v>
      </c>
      <c r="F109" s="168"/>
      <c r="G109" s="168"/>
      <c r="H109" s="168"/>
      <c r="I109" s="168"/>
      <c r="J109" s="168"/>
      <c r="K109" s="168"/>
      <c r="L109" s="168"/>
      <c r="M109" s="168"/>
      <c r="N109" s="168">
        <v>0</v>
      </c>
      <c r="O109" s="168">
        <v>0</v>
      </c>
      <c r="P109" s="168">
        <v>1</v>
      </c>
      <c r="Q109" s="168">
        <v>0</v>
      </c>
      <c r="R109" s="168">
        <v>0</v>
      </c>
      <c r="S109" s="168">
        <v>0</v>
      </c>
      <c r="T109" s="169">
        <f t="shared" si="39"/>
        <v>1</v>
      </c>
      <c r="U109" s="170">
        <v>0</v>
      </c>
      <c r="V109" s="170">
        <v>0</v>
      </c>
      <c r="W109" s="171">
        <f t="shared" si="54"/>
        <v>0</v>
      </c>
      <c r="X109" s="171">
        <f t="shared" si="55"/>
        <v>0</v>
      </c>
      <c r="Y109" s="171">
        <f t="shared" si="56"/>
        <v>0</v>
      </c>
      <c r="Z109" s="171">
        <f t="shared" si="57"/>
        <v>0</v>
      </c>
      <c r="AA109" s="140"/>
    </row>
    <row r="110" spans="1:27" ht="63" outlineLevel="1" x14ac:dyDescent="0.25">
      <c r="A110" s="177" t="s">
        <v>598</v>
      </c>
      <c r="B110" s="167" t="s">
        <v>667</v>
      </c>
      <c r="C110" s="168" t="s">
        <v>98</v>
      </c>
      <c r="D110" s="168">
        <v>0</v>
      </c>
      <c r="E110" s="168">
        <v>0</v>
      </c>
      <c r="F110" s="168"/>
      <c r="G110" s="168"/>
      <c r="H110" s="168"/>
      <c r="I110" s="168"/>
      <c r="J110" s="168">
        <v>1</v>
      </c>
      <c r="K110" s="168"/>
      <c r="L110" s="168"/>
      <c r="M110" s="168"/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  <c r="T110" s="169">
        <f t="shared" si="39"/>
        <v>1</v>
      </c>
      <c r="U110" s="170">
        <v>0</v>
      </c>
      <c r="V110" s="170">
        <v>0</v>
      </c>
      <c r="W110" s="171">
        <f t="shared" si="54"/>
        <v>0</v>
      </c>
      <c r="X110" s="171">
        <f t="shared" si="55"/>
        <v>0</v>
      </c>
      <c r="Y110" s="171">
        <f t="shared" si="56"/>
        <v>0</v>
      </c>
      <c r="Z110" s="171">
        <f t="shared" si="57"/>
        <v>0</v>
      </c>
      <c r="AA110" s="140"/>
    </row>
    <row r="111" spans="1:27" ht="47.25" outlineLevel="1" x14ac:dyDescent="0.25">
      <c r="A111" s="177" t="s">
        <v>599</v>
      </c>
      <c r="B111" s="167" t="s">
        <v>794</v>
      </c>
      <c r="C111" s="168" t="s">
        <v>98</v>
      </c>
      <c r="D111" s="168">
        <v>0</v>
      </c>
      <c r="E111" s="168">
        <v>0</v>
      </c>
      <c r="F111" s="168"/>
      <c r="G111" s="168">
        <v>10</v>
      </c>
      <c r="H111" s="168"/>
      <c r="I111" s="168"/>
      <c r="J111" s="168"/>
      <c r="K111" s="168"/>
      <c r="L111" s="168"/>
      <c r="M111" s="168"/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  <c r="T111" s="169">
        <f t="shared" si="39"/>
        <v>10</v>
      </c>
      <c r="U111" s="170">
        <v>0</v>
      </c>
      <c r="V111" s="170">
        <v>0</v>
      </c>
      <c r="W111" s="171">
        <f t="shared" si="54"/>
        <v>0</v>
      </c>
      <c r="X111" s="171">
        <f t="shared" si="55"/>
        <v>0</v>
      </c>
      <c r="Y111" s="171">
        <f t="shared" si="56"/>
        <v>0</v>
      </c>
      <c r="Z111" s="171">
        <f t="shared" si="57"/>
        <v>0</v>
      </c>
      <c r="AA111" s="140"/>
    </row>
    <row r="112" spans="1:27" ht="47.25" outlineLevel="1" x14ac:dyDescent="0.25">
      <c r="A112" s="177" t="s">
        <v>600</v>
      </c>
      <c r="B112" s="167" t="s">
        <v>906</v>
      </c>
      <c r="C112" s="168" t="s">
        <v>98</v>
      </c>
      <c r="D112" s="168"/>
      <c r="E112" s="168"/>
      <c r="F112" s="168"/>
      <c r="G112" s="168">
        <v>4</v>
      </c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9">
        <f t="shared" si="39"/>
        <v>4</v>
      </c>
      <c r="U112" s="170">
        <v>0</v>
      </c>
      <c r="V112" s="170">
        <v>0</v>
      </c>
      <c r="W112" s="171">
        <f t="shared" si="54"/>
        <v>0</v>
      </c>
      <c r="X112" s="171">
        <f t="shared" si="55"/>
        <v>0</v>
      </c>
      <c r="Y112" s="171">
        <f t="shared" si="56"/>
        <v>0</v>
      </c>
      <c r="Z112" s="171">
        <f t="shared" si="57"/>
        <v>0</v>
      </c>
      <c r="AA112" s="140"/>
    </row>
    <row r="113" spans="1:27" ht="47.25" outlineLevel="1" x14ac:dyDescent="0.25">
      <c r="A113" s="177" t="s">
        <v>601</v>
      </c>
      <c r="B113" s="167" t="s">
        <v>795</v>
      </c>
      <c r="C113" s="168" t="s">
        <v>98</v>
      </c>
      <c r="D113" s="168">
        <v>9</v>
      </c>
      <c r="E113" s="168">
        <v>0</v>
      </c>
      <c r="F113" s="168"/>
      <c r="G113" s="168"/>
      <c r="H113" s="168"/>
      <c r="I113" s="168"/>
      <c r="J113" s="168"/>
      <c r="K113" s="168"/>
      <c r="L113" s="168"/>
      <c r="M113" s="168"/>
      <c r="N113" s="168">
        <v>0</v>
      </c>
      <c r="O113" s="168">
        <v>0</v>
      </c>
      <c r="P113" s="168">
        <v>0</v>
      </c>
      <c r="Q113" s="168">
        <v>0</v>
      </c>
      <c r="R113" s="168">
        <v>0</v>
      </c>
      <c r="S113" s="168">
        <v>0</v>
      </c>
      <c r="T113" s="169">
        <f t="shared" si="39"/>
        <v>9</v>
      </c>
      <c r="U113" s="170">
        <v>0</v>
      </c>
      <c r="V113" s="170">
        <v>0</v>
      </c>
      <c r="W113" s="171">
        <f t="shared" si="54"/>
        <v>0</v>
      </c>
      <c r="X113" s="171">
        <f t="shared" si="55"/>
        <v>0</v>
      </c>
      <c r="Y113" s="171">
        <f t="shared" si="56"/>
        <v>0</v>
      </c>
      <c r="Z113" s="171">
        <f t="shared" si="57"/>
        <v>0</v>
      </c>
      <c r="AA113" s="140"/>
    </row>
    <row r="114" spans="1:27" ht="47.25" outlineLevel="1" x14ac:dyDescent="0.25">
      <c r="A114" s="177" t="s">
        <v>602</v>
      </c>
      <c r="B114" s="167" t="s">
        <v>796</v>
      </c>
      <c r="C114" s="168" t="s">
        <v>98</v>
      </c>
      <c r="D114" s="168">
        <v>0</v>
      </c>
      <c r="E114" s="168">
        <v>0</v>
      </c>
      <c r="F114" s="168"/>
      <c r="G114" s="168">
        <v>4</v>
      </c>
      <c r="H114" s="168"/>
      <c r="I114" s="168"/>
      <c r="J114" s="168"/>
      <c r="K114" s="168"/>
      <c r="L114" s="168"/>
      <c r="M114" s="168"/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  <c r="T114" s="169">
        <f t="shared" si="39"/>
        <v>4</v>
      </c>
      <c r="U114" s="170">
        <v>0</v>
      </c>
      <c r="V114" s="170">
        <v>0</v>
      </c>
      <c r="W114" s="171">
        <f t="shared" si="54"/>
        <v>0</v>
      </c>
      <c r="X114" s="171">
        <f t="shared" si="55"/>
        <v>0</v>
      </c>
      <c r="Y114" s="171">
        <f t="shared" si="56"/>
        <v>0</v>
      </c>
      <c r="Z114" s="171">
        <f t="shared" si="57"/>
        <v>0</v>
      </c>
      <c r="AA114" s="140"/>
    </row>
    <row r="115" spans="1:27" ht="47.25" outlineLevel="1" x14ac:dyDescent="0.25">
      <c r="A115" s="177" t="s">
        <v>603</v>
      </c>
      <c r="B115" s="167" t="s">
        <v>810</v>
      </c>
      <c r="C115" s="168" t="s">
        <v>98</v>
      </c>
      <c r="D115" s="168">
        <v>0</v>
      </c>
      <c r="E115" s="168">
        <v>0</v>
      </c>
      <c r="F115" s="168"/>
      <c r="G115" s="168"/>
      <c r="H115" s="168"/>
      <c r="I115" s="168"/>
      <c r="J115" s="168"/>
      <c r="K115" s="168"/>
      <c r="L115" s="168"/>
      <c r="M115" s="168"/>
      <c r="N115" s="168">
        <v>0</v>
      </c>
      <c r="O115" s="168">
        <v>0</v>
      </c>
      <c r="P115" s="168">
        <v>4</v>
      </c>
      <c r="Q115" s="168">
        <v>0</v>
      </c>
      <c r="R115" s="168">
        <v>0</v>
      </c>
      <c r="S115" s="168">
        <v>0</v>
      </c>
      <c r="T115" s="169">
        <f t="shared" si="39"/>
        <v>4</v>
      </c>
      <c r="U115" s="170">
        <v>0</v>
      </c>
      <c r="V115" s="170">
        <v>0</v>
      </c>
      <c r="W115" s="171">
        <f t="shared" si="54"/>
        <v>0</v>
      </c>
      <c r="X115" s="171">
        <f t="shared" si="55"/>
        <v>0</v>
      </c>
      <c r="Y115" s="171">
        <f t="shared" si="56"/>
        <v>0</v>
      </c>
      <c r="Z115" s="171">
        <f t="shared" si="57"/>
        <v>0</v>
      </c>
      <c r="AA115" s="140"/>
    </row>
    <row r="116" spans="1:27" ht="47.25" outlineLevel="1" x14ac:dyDescent="0.25">
      <c r="A116" s="177" t="s">
        <v>604</v>
      </c>
      <c r="B116" s="167" t="s">
        <v>797</v>
      </c>
      <c r="C116" s="168" t="s">
        <v>98</v>
      </c>
      <c r="D116" s="168">
        <v>0</v>
      </c>
      <c r="E116" s="168">
        <v>0</v>
      </c>
      <c r="F116" s="168"/>
      <c r="G116" s="168"/>
      <c r="H116" s="168"/>
      <c r="I116" s="168"/>
      <c r="J116" s="168"/>
      <c r="K116" s="168"/>
      <c r="L116" s="168">
        <v>1</v>
      </c>
      <c r="M116" s="168"/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  <c r="T116" s="169">
        <f t="shared" si="39"/>
        <v>1</v>
      </c>
      <c r="U116" s="170">
        <v>0</v>
      </c>
      <c r="V116" s="170">
        <v>0</v>
      </c>
      <c r="W116" s="171">
        <f t="shared" si="54"/>
        <v>0</v>
      </c>
      <c r="X116" s="171">
        <f t="shared" si="55"/>
        <v>0</v>
      </c>
      <c r="Y116" s="171">
        <f t="shared" si="56"/>
        <v>0</v>
      </c>
      <c r="Z116" s="171">
        <f t="shared" si="57"/>
        <v>0</v>
      </c>
      <c r="AA116" s="140"/>
    </row>
    <row r="117" spans="1:27" s="206" customFormat="1" ht="15.75" outlineLevel="1" x14ac:dyDescent="0.25">
      <c r="A117" s="179" t="s">
        <v>101</v>
      </c>
      <c r="B117" s="180" t="s">
        <v>542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2"/>
      <c r="X117" s="207">
        <f>SUBTOTAL(9,X118:X128)</f>
        <v>0</v>
      </c>
      <c r="Y117" s="207">
        <f t="shared" ref="Y117:Z117" si="58">SUBTOTAL(9,Y118:Y128)</f>
        <v>0</v>
      </c>
      <c r="Z117" s="207">
        <f t="shared" si="58"/>
        <v>0</v>
      </c>
      <c r="AA117" s="139"/>
    </row>
    <row r="118" spans="1:27" s="206" customFormat="1" ht="78.75" outlineLevel="1" x14ac:dyDescent="0.25">
      <c r="A118" s="183" t="s">
        <v>607</v>
      </c>
      <c r="B118" s="167" t="s">
        <v>689</v>
      </c>
      <c r="C118" s="168" t="s">
        <v>98</v>
      </c>
      <c r="D118" s="168">
        <v>0</v>
      </c>
      <c r="E118" s="168">
        <v>0</v>
      </c>
      <c r="F118" s="168">
        <v>7</v>
      </c>
      <c r="G118" s="168"/>
      <c r="H118" s="168"/>
      <c r="I118" s="168"/>
      <c r="J118" s="168"/>
      <c r="K118" s="168"/>
      <c r="L118" s="168"/>
      <c r="M118" s="168"/>
      <c r="N118" s="168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  <c r="T118" s="169">
        <f t="shared" si="39"/>
        <v>7</v>
      </c>
      <c r="U118" s="170">
        <v>0</v>
      </c>
      <c r="V118" s="170">
        <v>0</v>
      </c>
      <c r="W118" s="171">
        <f t="shared" ref="W118" si="59">V118+U118</f>
        <v>0</v>
      </c>
      <c r="X118" s="171">
        <f t="shared" ref="X118" si="60">$T118*U118</f>
        <v>0</v>
      </c>
      <c r="Y118" s="171">
        <f t="shared" ref="Y118" si="61">$T118*V118</f>
        <v>0</v>
      </c>
      <c r="Z118" s="171">
        <f t="shared" ref="Z118" si="62">Y118+X118</f>
        <v>0</v>
      </c>
      <c r="AA118" s="141"/>
    </row>
    <row r="119" spans="1:27" s="206" customFormat="1" ht="78.75" outlineLevel="1" x14ac:dyDescent="0.25">
      <c r="A119" s="183" t="s">
        <v>608</v>
      </c>
      <c r="B119" s="167" t="s">
        <v>811</v>
      </c>
      <c r="C119" s="168" t="s">
        <v>98</v>
      </c>
      <c r="D119" s="168">
        <v>0</v>
      </c>
      <c r="E119" s="168">
        <v>0</v>
      </c>
      <c r="F119" s="168"/>
      <c r="G119" s="168"/>
      <c r="H119" s="168"/>
      <c r="I119" s="168"/>
      <c r="J119" s="168"/>
      <c r="K119" s="168"/>
      <c r="L119" s="168"/>
      <c r="M119" s="168"/>
      <c r="N119" s="168">
        <v>0</v>
      </c>
      <c r="O119" s="168">
        <v>0</v>
      </c>
      <c r="P119" s="168">
        <v>3</v>
      </c>
      <c r="Q119" s="168">
        <v>0</v>
      </c>
      <c r="R119" s="168">
        <v>0</v>
      </c>
      <c r="S119" s="168">
        <v>0</v>
      </c>
      <c r="T119" s="169">
        <f t="shared" si="39"/>
        <v>3</v>
      </c>
      <c r="U119" s="170">
        <v>0</v>
      </c>
      <c r="V119" s="170">
        <v>0</v>
      </c>
      <c r="W119" s="171">
        <f t="shared" ref="W119:W128" si="63">V119+U119</f>
        <v>0</v>
      </c>
      <c r="X119" s="171">
        <f t="shared" ref="X119:X128" si="64">$T119*U119</f>
        <v>0</v>
      </c>
      <c r="Y119" s="171">
        <f t="shared" ref="Y119:Y128" si="65">$T119*V119</f>
        <v>0</v>
      </c>
      <c r="Z119" s="171">
        <f t="shared" ref="Z119:Z128" si="66">Y119+X119</f>
        <v>0</v>
      </c>
      <c r="AA119" s="141"/>
    </row>
    <row r="120" spans="1:27" s="206" customFormat="1" ht="63" outlineLevel="1" x14ac:dyDescent="0.25">
      <c r="A120" s="183" t="s">
        <v>609</v>
      </c>
      <c r="B120" s="167" t="s">
        <v>786</v>
      </c>
      <c r="C120" s="168" t="s">
        <v>98</v>
      </c>
      <c r="D120" s="168">
        <v>0</v>
      </c>
      <c r="E120" s="168">
        <v>0</v>
      </c>
      <c r="F120" s="168"/>
      <c r="G120" s="168"/>
      <c r="H120" s="168">
        <v>3</v>
      </c>
      <c r="I120" s="168"/>
      <c r="J120" s="168"/>
      <c r="K120" s="168"/>
      <c r="L120" s="168">
        <v>36</v>
      </c>
      <c r="M120" s="168">
        <v>24</v>
      </c>
      <c r="N120" s="168">
        <v>31</v>
      </c>
      <c r="O120" s="168">
        <v>12</v>
      </c>
      <c r="P120" s="168">
        <v>0</v>
      </c>
      <c r="Q120" s="168">
        <v>13</v>
      </c>
      <c r="R120" s="168">
        <v>13</v>
      </c>
      <c r="S120" s="168">
        <v>16</v>
      </c>
      <c r="T120" s="169">
        <f t="shared" si="39"/>
        <v>148</v>
      </c>
      <c r="U120" s="170">
        <v>0</v>
      </c>
      <c r="V120" s="170">
        <v>0</v>
      </c>
      <c r="W120" s="171">
        <f t="shared" si="63"/>
        <v>0</v>
      </c>
      <c r="X120" s="171">
        <f t="shared" si="64"/>
        <v>0</v>
      </c>
      <c r="Y120" s="171">
        <f t="shared" si="65"/>
        <v>0</v>
      </c>
      <c r="Z120" s="171">
        <f t="shared" si="66"/>
        <v>0</v>
      </c>
      <c r="AA120" s="140"/>
    </row>
    <row r="121" spans="1:27" ht="63" outlineLevel="1" x14ac:dyDescent="0.25">
      <c r="A121" s="183" t="s">
        <v>611</v>
      </c>
      <c r="B121" s="167" t="s">
        <v>907</v>
      </c>
      <c r="C121" s="168" t="s">
        <v>98</v>
      </c>
      <c r="D121" s="168"/>
      <c r="E121" s="168"/>
      <c r="F121" s="168"/>
      <c r="G121" s="168"/>
      <c r="H121" s="168"/>
      <c r="I121" s="168"/>
      <c r="J121" s="168"/>
      <c r="K121" s="168"/>
      <c r="L121" s="168">
        <v>5</v>
      </c>
      <c r="M121" s="168"/>
      <c r="N121" s="168"/>
      <c r="O121" s="168"/>
      <c r="P121" s="168"/>
      <c r="Q121" s="168"/>
      <c r="R121" s="168"/>
      <c r="S121" s="168"/>
      <c r="T121" s="169">
        <f t="shared" si="39"/>
        <v>5</v>
      </c>
      <c r="U121" s="170">
        <v>0</v>
      </c>
      <c r="V121" s="170">
        <v>0</v>
      </c>
      <c r="W121" s="171">
        <f t="shared" si="63"/>
        <v>0</v>
      </c>
      <c r="X121" s="171">
        <f t="shared" si="64"/>
        <v>0</v>
      </c>
      <c r="Y121" s="171">
        <f t="shared" si="65"/>
        <v>0</v>
      </c>
      <c r="Z121" s="171">
        <f t="shared" si="66"/>
        <v>0</v>
      </c>
      <c r="AA121" s="140"/>
    </row>
    <row r="122" spans="1:27" ht="63" outlineLevel="1" x14ac:dyDescent="0.25">
      <c r="A122" s="183" t="s">
        <v>612</v>
      </c>
      <c r="B122" s="167" t="s">
        <v>785</v>
      </c>
      <c r="C122" s="168" t="s">
        <v>98</v>
      </c>
      <c r="D122" s="168">
        <v>5</v>
      </c>
      <c r="E122" s="168">
        <v>0</v>
      </c>
      <c r="F122" s="168"/>
      <c r="G122" s="168"/>
      <c r="H122" s="168"/>
      <c r="I122" s="168"/>
      <c r="J122" s="168"/>
      <c r="K122" s="168"/>
      <c r="L122" s="168"/>
      <c r="M122" s="168"/>
      <c r="N122" s="168">
        <v>0</v>
      </c>
      <c r="O122" s="168">
        <v>0</v>
      </c>
      <c r="P122" s="168">
        <v>0</v>
      </c>
      <c r="Q122" s="168">
        <v>0</v>
      </c>
      <c r="R122" s="168">
        <v>0</v>
      </c>
      <c r="S122" s="168">
        <v>0</v>
      </c>
      <c r="T122" s="169">
        <f t="shared" si="39"/>
        <v>5</v>
      </c>
      <c r="U122" s="170">
        <v>0</v>
      </c>
      <c r="V122" s="170">
        <v>0</v>
      </c>
      <c r="W122" s="171">
        <f t="shared" si="63"/>
        <v>0</v>
      </c>
      <c r="X122" s="171">
        <f t="shared" si="64"/>
        <v>0</v>
      </c>
      <c r="Y122" s="171">
        <f t="shared" si="65"/>
        <v>0</v>
      </c>
      <c r="Z122" s="171">
        <f t="shared" si="66"/>
        <v>0</v>
      </c>
      <c r="AA122" s="140"/>
    </row>
    <row r="123" spans="1:27" ht="94.5" outlineLevel="1" x14ac:dyDescent="0.25">
      <c r="A123" s="183" t="s">
        <v>610</v>
      </c>
      <c r="B123" s="167" t="s">
        <v>787</v>
      </c>
      <c r="C123" s="168" t="s">
        <v>98</v>
      </c>
      <c r="D123" s="168">
        <v>0</v>
      </c>
      <c r="E123" s="168">
        <v>0</v>
      </c>
      <c r="F123" s="168">
        <v>8</v>
      </c>
      <c r="G123" s="168"/>
      <c r="H123" s="168"/>
      <c r="I123" s="168"/>
      <c r="J123" s="168"/>
      <c r="K123" s="168"/>
      <c r="L123" s="168"/>
      <c r="M123" s="168"/>
      <c r="N123" s="168">
        <v>0</v>
      </c>
      <c r="O123" s="168">
        <v>0</v>
      </c>
      <c r="P123" s="168">
        <v>0</v>
      </c>
      <c r="Q123" s="168">
        <v>0</v>
      </c>
      <c r="R123" s="168">
        <v>0</v>
      </c>
      <c r="S123" s="168">
        <v>0</v>
      </c>
      <c r="T123" s="169">
        <f t="shared" si="39"/>
        <v>8</v>
      </c>
      <c r="U123" s="170">
        <v>0</v>
      </c>
      <c r="V123" s="170">
        <v>0</v>
      </c>
      <c r="W123" s="171">
        <f t="shared" si="63"/>
        <v>0</v>
      </c>
      <c r="X123" s="171">
        <f t="shared" si="64"/>
        <v>0</v>
      </c>
      <c r="Y123" s="171">
        <f t="shared" si="65"/>
        <v>0</v>
      </c>
      <c r="Z123" s="171">
        <f t="shared" si="66"/>
        <v>0</v>
      </c>
      <c r="AA123" s="140"/>
    </row>
    <row r="124" spans="1:27" ht="94.5" outlineLevel="1" x14ac:dyDescent="0.25">
      <c r="A124" s="183" t="s">
        <v>613</v>
      </c>
      <c r="B124" s="167" t="s">
        <v>788</v>
      </c>
      <c r="C124" s="168" t="s">
        <v>98</v>
      </c>
      <c r="D124" s="168">
        <v>0</v>
      </c>
      <c r="E124" s="168">
        <v>0</v>
      </c>
      <c r="F124" s="168"/>
      <c r="G124" s="168"/>
      <c r="H124" s="168"/>
      <c r="I124" s="168"/>
      <c r="J124" s="168"/>
      <c r="K124" s="168"/>
      <c r="L124" s="168"/>
      <c r="M124" s="168"/>
      <c r="N124" s="168">
        <v>3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  <c r="T124" s="169">
        <f t="shared" si="39"/>
        <v>3</v>
      </c>
      <c r="U124" s="170">
        <v>0</v>
      </c>
      <c r="V124" s="170">
        <v>0</v>
      </c>
      <c r="W124" s="171">
        <f t="shared" si="63"/>
        <v>0</v>
      </c>
      <c r="X124" s="171">
        <f t="shared" si="64"/>
        <v>0</v>
      </c>
      <c r="Y124" s="171">
        <f t="shared" si="65"/>
        <v>0</v>
      </c>
      <c r="Z124" s="171">
        <f t="shared" si="66"/>
        <v>0</v>
      </c>
      <c r="AA124" s="140"/>
    </row>
    <row r="125" spans="1:27" ht="63" outlineLevel="1" x14ac:dyDescent="0.25">
      <c r="A125" s="183" t="s">
        <v>840</v>
      </c>
      <c r="B125" s="167" t="s">
        <v>789</v>
      </c>
      <c r="C125" s="168" t="s">
        <v>98</v>
      </c>
      <c r="D125" s="168">
        <v>0</v>
      </c>
      <c r="E125" s="168">
        <v>0</v>
      </c>
      <c r="F125" s="168"/>
      <c r="G125" s="168"/>
      <c r="H125" s="168"/>
      <c r="I125" s="168"/>
      <c r="J125" s="168"/>
      <c r="K125" s="168"/>
      <c r="L125" s="168">
        <v>8</v>
      </c>
      <c r="M125" s="168"/>
      <c r="N125" s="168">
        <v>0</v>
      </c>
      <c r="O125" s="168">
        <v>0</v>
      </c>
      <c r="P125" s="168">
        <v>0</v>
      </c>
      <c r="Q125" s="168">
        <v>0</v>
      </c>
      <c r="R125" s="168">
        <v>0</v>
      </c>
      <c r="S125" s="168">
        <v>0</v>
      </c>
      <c r="T125" s="169">
        <f t="shared" si="39"/>
        <v>8</v>
      </c>
      <c r="U125" s="170">
        <v>0</v>
      </c>
      <c r="V125" s="170">
        <v>0</v>
      </c>
      <c r="W125" s="171">
        <f t="shared" si="63"/>
        <v>0</v>
      </c>
      <c r="X125" s="171">
        <f t="shared" si="64"/>
        <v>0</v>
      </c>
      <c r="Y125" s="171">
        <f t="shared" si="65"/>
        <v>0</v>
      </c>
      <c r="Z125" s="171">
        <f t="shared" si="66"/>
        <v>0</v>
      </c>
      <c r="AA125" s="140"/>
    </row>
    <row r="126" spans="1:27" ht="63" outlineLevel="1" x14ac:dyDescent="0.25">
      <c r="A126" s="183" t="s">
        <v>841</v>
      </c>
      <c r="B126" s="167" t="s">
        <v>790</v>
      </c>
      <c r="C126" s="168" t="s">
        <v>98</v>
      </c>
      <c r="D126" s="168">
        <v>0</v>
      </c>
      <c r="E126" s="168">
        <v>0</v>
      </c>
      <c r="F126" s="168"/>
      <c r="G126" s="168"/>
      <c r="H126" s="168"/>
      <c r="I126" s="168"/>
      <c r="J126" s="168"/>
      <c r="K126" s="168"/>
      <c r="L126" s="168"/>
      <c r="M126" s="168"/>
      <c r="N126" s="168">
        <v>6</v>
      </c>
      <c r="O126" s="168">
        <v>0</v>
      </c>
      <c r="P126" s="168">
        <v>0</v>
      </c>
      <c r="Q126" s="168">
        <v>0</v>
      </c>
      <c r="R126" s="168">
        <v>0</v>
      </c>
      <c r="S126" s="168">
        <v>0</v>
      </c>
      <c r="T126" s="169">
        <f t="shared" si="39"/>
        <v>6</v>
      </c>
      <c r="U126" s="170">
        <v>0</v>
      </c>
      <c r="V126" s="170">
        <v>0</v>
      </c>
      <c r="W126" s="171">
        <f t="shared" si="63"/>
        <v>0</v>
      </c>
      <c r="X126" s="171">
        <f t="shared" si="64"/>
        <v>0</v>
      </c>
      <c r="Y126" s="171">
        <f t="shared" si="65"/>
        <v>0</v>
      </c>
      <c r="Z126" s="171">
        <f t="shared" si="66"/>
        <v>0</v>
      </c>
      <c r="AA126" s="140"/>
    </row>
    <row r="127" spans="1:27" ht="63" outlineLevel="1" x14ac:dyDescent="0.25">
      <c r="A127" s="183" t="s">
        <v>842</v>
      </c>
      <c r="B127" s="167" t="s">
        <v>793</v>
      </c>
      <c r="C127" s="168" t="s">
        <v>98</v>
      </c>
      <c r="D127" s="168">
        <v>0</v>
      </c>
      <c r="E127" s="168">
        <v>0</v>
      </c>
      <c r="F127" s="168"/>
      <c r="G127" s="168"/>
      <c r="H127" s="168"/>
      <c r="I127" s="168"/>
      <c r="J127" s="168"/>
      <c r="K127" s="168"/>
      <c r="L127" s="168"/>
      <c r="M127" s="168"/>
      <c r="N127" s="168">
        <v>5</v>
      </c>
      <c r="O127" s="168">
        <v>0</v>
      </c>
      <c r="P127" s="168">
        <v>0</v>
      </c>
      <c r="Q127" s="168">
        <v>0</v>
      </c>
      <c r="R127" s="168">
        <v>0</v>
      </c>
      <c r="S127" s="168">
        <v>0</v>
      </c>
      <c r="T127" s="169">
        <f t="shared" si="39"/>
        <v>5</v>
      </c>
      <c r="U127" s="170">
        <v>0</v>
      </c>
      <c r="V127" s="170">
        <v>0</v>
      </c>
      <c r="W127" s="171">
        <f t="shared" si="63"/>
        <v>0</v>
      </c>
      <c r="X127" s="171">
        <f t="shared" si="64"/>
        <v>0</v>
      </c>
      <c r="Y127" s="171">
        <f t="shared" si="65"/>
        <v>0</v>
      </c>
      <c r="Z127" s="171">
        <f t="shared" si="66"/>
        <v>0</v>
      </c>
      <c r="AA127" s="140"/>
    </row>
    <row r="128" spans="1:27" ht="63" outlineLevel="1" x14ac:dyDescent="0.25">
      <c r="A128" s="183" t="s">
        <v>908</v>
      </c>
      <c r="B128" s="167" t="s">
        <v>812</v>
      </c>
      <c r="C128" s="168" t="s">
        <v>98</v>
      </c>
      <c r="D128" s="168">
        <v>0</v>
      </c>
      <c r="E128" s="168">
        <v>0</v>
      </c>
      <c r="F128" s="168"/>
      <c r="G128" s="168"/>
      <c r="H128" s="168"/>
      <c r="I128" s="168"/>
      <c r="J128" s="168"/>
      <c r="K128" s="168"/>
      <c r="L128" s="168"/>
      <c r="M128" s="168"/>
      <c r="N128" s="168">
        <v>0</v>
      </c>
      <c r="O128" s="168">
        <v>0</v>
      </c>
      <c r="P128" s="168">
        <v>2</v>
      </c>
      <c r="Q128" s="168">
        <v>0</v>
      </c>
      <c r="R128" s="168">
        <v>0</v>
      </c>
      <c r="S128" s="168">
        <v>0</v>
      </c>
      <c r="T128" s="169">
        <f t="shared" si="39"/>
        <v>2</v>
      </c>
      <c r="U128" s="170">
        <v>0</v>
      </c>
      <c r="V128" s="170">
        <v>0</v>
      </c>
      <c r="W128" s="171">
        <f t="shared" si="63"/>
        <v>0</v>
      </c>
      <c r="X128" s="171">
        <f t="shared" si="64"/>
        <v>0</v>
      </c>
      <c r="Y128" s="171">
        <f t="shared" si="65"/>
        <v>0</v>
      </c>
      <c r="Z128" s="171">
        <f t="shared" si="66"/>
        <v>0</v>
      </c>
      <c r="AA128" s="140"/>
    </row>
    <row r="129" spans="1:27" ht="15.75" outlineLevel="1" x14ac:dyDescent="0.25">
      <c r="A129" s="160" t="s">
        <v>104</v>
      </c>
      <c r="B129" s="161" t="s">
        <v>105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73"/>
      <c r="V129" s="173"/>
      <c r="W129" s="173"/>
      <c r="X129" s="205">
        <f>SUBTOTAL(9,X130:X138)</f>
        <v>0</v>
      </c>
      <c r="Y129" s="205">
        <f t="shared" ref="Y129:Z129" si="67">SUBTOTAL(9,Y130:Y138)</f>
        <v>0</v>
      </c>
      <c r="Z129" s="205">
        <f t="shared" si="67"/>
        <v>0</v>
      </c>
      <c r="AA129" s="136"/>
    </row>
    <row r="130" spans="1:27" ht="31.5" outlineLevel="1" x14ac:dyDescent="0.25">
      <c r="A130" s="166" t="s">
        <v>106</v>
      </c>
      <c r="B130" s="167" t="s">
        <v>885</v>
      </c>
      <c r="C130" s="168" t="s">
        <v>98</v>
      </c>
      <c r="D130" s="168">
        <v>0</v>
      </c>
      <c r="E130" s="168">
        <v>0</v>
      </c>
      <c r="F130" s="168"/>
      <c r="G130" s="168"/>
      <c r="H130" s="168"/>
      <c r="I130" s="168"/>
      <c r="J130" s="168"/>
      <c r="K130" s="168"/>
      <c r="L130" s="168">
        <v>4</v>
      </c>
      <c r="M130" s="168"/>
      <c r="N130" s="168">
        <v>0</v>
      </c>
      <c r="O130" s="168">
        <v>0</v>
      </c>
      <c r="P130" s="168">
        <v>0</v>
      </c>
      <c r="Q130" s="168">
        <v>0</v>
      </c>
      <c r="R130" s="168">
        <v>0</v>
      </c>
      <c r="S130" s="168">
        <v>0</v>
      </c>
      <c r="T130" s="169">
        <f t="shared" si="39"/>
        <v>4</v>
      </c>
      <c r="U130" s="170">
        <v>0</v>
      </c>
      <c r="V130" s="170">
        <v>0</v>
      </c>
      <c r="W130" s="171">
        <f t="shared" ref="W130" si="68">V130+U130</f>
        <v>0</v>
      </c>
      <c r="X130" s="171">
        <f t="shared" ref="X130" si="69">$T130*U130</f>
        <v>0</v>
      </c>
      <c r="Y130" s="171">
        <f t="shared" ref="Y130" si="70">$T130*V130</f>
        <v>0</v>
      </c>
      <c r="Z130" s="171">
        <f t="shared" ref="Z130" si="71">Y130+X130</f>
        <v>0</v>
      </c>
      <c r="AA130" s="137"/>
    </row>
    <row r="131" spans="1:27" ht="31.5" outlineLevel="1" x14ac:dyDescent="0.25">
      <c r="A131" s="166" t="s">
        <v>108</v>
      </c>
      <c r="B131" s="167" t="s">
        <v>886</v>
      </c>
      <c r="C131" s="168" t="s">
        <v>98</v>
      </c>
      <c r="D131" s="168">
        <v>1</v>
      </c>
      <c r="E131" s="168">
        <v>0</v>
      </c>
      <c r="F131" s="168"/>
      <c r="G131" s="168"/>
      <c r="H131" s="168"/>
      <c r="I131" s="168"/>
      <c r="J131" s="168">
        <v>1</v>
      </c>
      <c r="K131" s="168"/>
      <c r="L131" s="168"/>
      <c r="M131" s="168"/>
      <c r="N131" s="168">
        <v>0</v>
      </c>
      <c r="O131" s="168">
        <v>0</v>
      </c>
      <c r="P131" s="168">
        <v>0</v>
      </c>
      <c r="Q131" s="168">
        <v>0</v>
      </c>
      <c r="R131" s="168">
        <v>0</v>
      </c>
      <c r="S131" s="168">
        <v>0</v>
      </c>
      <c r="T131" s="169">
        <f t="shared" si="39"/>
        <v>2</v>
      </c>
      <c r="U131" s="170">
        <v>0</v>
      </c>
      <c r="V131" s="170">
        <v>0</v>
      </c>
      <c r="W131" s="171">
        <f t="shared" ref="W131:W138" si="72">V131+U131</f>
        <v>0</v>
      </c>
      <c r="X131" s="171">
        <f t="shared" ref="X131:X138" si="73">$T131*U131</f>
        <v>0</v>
      </c>
      <c r="Y131" s="171">
        <f t="shared" ref="Y131:Y138" si="74">$T131*V131</f>
        <v>0</v>
      </c>
      <c r="Z131" s="171">
        <f t="shared" ref="Z131:Z138" si="75">Y131+X131</f>
        <v>0</v>
      </c>
      <c r="AA131" s="137"/>
    </row>
    <row r="132" spans="1:27" ht="31.5" outlineLevel="1" x14ac:dyDescent="0.25">
      <c r="A132" s="166" t="s">
        <v>110</v>
      </c>
      <c r="B132" s="167" t="s">
        <v>887</v>
      </c>
      <c r="C132" s="168" t="s">
        <v>98</v>
      </c>
      <c r="D132" s="168">
        <v>0</v>
      </c>
      <c r="E132" s="168">
        <v>0</v>
      </c>
      <c r="F132" s="168"/>
      <c r="G132" s="168"/>
      <c r="H132" s="168"/>
      <c r="I132" s="168">
        <v>1</v>
      </c>
      <c r="J132" s="168"/>
      <c r="K132" s="168"/>
      <c r="L132" s="168"/>
      <c r="M132" s="168"/>
      <c r="N132" s="168">
        <v>0</v>
      </c>
      <c r="O132" s="168">
        <v>0</v>
      </c>
      <c r="P132" s="168">
        <v>0</v>
      </c>
      <c r="Q132" s="168">
        <v>0</v>
      </c>
      <c r="R132" s="168">
        <v>0</v>
      </c>
      <c r="S132" s="168">
        <v>0</v>
      </c>
      <c r="T132" s="169">
        <f t="shared" si="39"/>
        <v>1</v>
      </c>
      <c r="U132" s="170">
        <v>0</v>
      </c>
      <c r="V132" s="170">
        <v>0</v>
      </c>
      <c r="W132" s="171">
        <f t="shared" si="72"/>
        <v>0</v>
      </c>
      <c r="X132" s="171">
        <f t="shared" si="73"/>
        <v>0</v>
      </c>
      <c r="Y132" s="171">
        <f t="shared" si="74"/>
        <v>0</v>
      </c>
      <c r="Z132" s="171">
        <f t="shared" si="75"/>
        <v>0</v>
      </c>
      <c r="AA132" s="137"/>
    </row>
    <row r="133" spans="1:27" ht="31.5" outlineLevel="1" x14ac:dyDescent="0.25">
      <c r="A133" s="166" t="s">
        <v>112</v>
      </c>
      <c r="B133" s="167" t="s">
        <v>888</v>
      </c>
      <c r="C133" s="168" t="s">
        <v>98</v>
      </c>
      <c r="D133" s="168">
        <v>1</v>
      </c>
      <c r="E133" s="168">
        <v>0</v>
      </c>
      <c r="F133" s="168"/>
      <c r="G133" s="168"/>
      <c r="H133" s="168"/>
      <c r="I133" s="168"/>
      <c r="J133" s="168"/>
      <c r="K133" s="168"/>
      <c r="L133" s="168"/>
      <c r="M133" s="168">
        <v>7</v>
      </c>
      <c r="N133" s="168">
        <v>0</v>
      </c>
      <c r="O133" s="168">
        <v>0</v>
      </c>
      <c r="P133" s="168">
        <v>0</v>
      </c>
      <c r="Q133" s="168">
        <v>0</v>
      </c>
      <c r="R133" s="168">
        <v>0</v>
      </c>
      <c r="S133" s="168">
        <v>0</v>
      </c>
      <c r="T133" s="169">
        <f t="shared" si="39"/>
        <v>8</v>
      </c>
      <c r="U133" s="170">
        <v>0</v>
      </c>
      <c r="V133" s="170">
        <v>0</v>
      </c>
      <c r="W133" s="171">
        <f t="shared" si="72"/>
        <v>0</v>
      </c>
      <c r="X133" s="171">
        <f t="shared" si="73"/>
        <v>0</v>
      </c>
      <c r="Y133" s="171">
        <f t="shared" si="74"/>
        <v>0</v>
      </c>
      <c r="Z133" s="171">
        <f t="shared" si="75"/>
        <v>0</v>
      </c>
      <c r="AA133" s="137"/>
    </row>
    <row r="134" spans="1:27" ht="31.5" outlineLevel="1" x14ac:dyDescent="0.25">
      <c r="A134" s="166" t="s">
        <v>843</v>
      </c>
      <c r="B134" s="167" t="s">
        <v>889</v>
      </c>
      <c r="C134" s="168" t="s">
        <v>98</v>
      </c>
      <c r="D134" s="168">
        <v>0</v>
      </c>
      <c r="E134" s="168">
        <v>0</v>
      </c>
      <c r="F134" s="168"/>
      <c r="G134" s="168"/>
      <c r="H134" s="168"/>
      <c r="I134" s="168"/>
      <c r="J134" s="168">
        <v>1</v>
      </c>
      <c r="K134" s="168"/>
      <c r="L134" s="168"/>
      <c r="M134" s="168"/>
      <c r="N134" s="168">
        <v>0</v>
      </c>
      <c r="O134" s="168">
        <v>0</v>
      </c>
      <c r="P134" s="168">
        <v>0</v>
      </c>
      <c r="Q134" s="168">
        <v>0</v>
      </c>
      <c r="R134" s="168">
        <v>0</v>
      </c>
      <c r="S134" s="168">
        <v>0</v>
      </c>
      <c r="T134" s="169">
        <f t="shared" si="39"/>
        <v>1</v>
      </c>
      <c r="U134" s="170">
        <v>0</v>
      </c>
      <c r="V134" s="170">
        <v>0</v>
      </c>
      <c r="W134" s="171">
        <f t="shared" si="72"/>
        <v>0</v>
      </c>
      <c r="X134" s="171">
        <f t="shared" si="73"/>
        <v>0</v>
      </c>
      <c r="Y134" s="171">
        <f t="shared" si="74"/>
        <v>0</v>
      </c>
      <c r="Z134" s="171">
        <f t="shared" si="75"/>
        <v>0</v>
      </c>
      <c r="AA134" s="137"/>
    </row>
    <row r="135" spans="1:27" ht="31.5" outlineLevel="1" x14ac:dyDescent="0.25">
      <c r="A135" s="166" t="s">
        <v>114</v>
      </c>
      <c r="B135" s="167" t="s">
        <v>890</v>
      </c>
      <c r="C135" s="168" t="s">
        <v>98</v>
      </c>
      <c r="D135" s="168">
        <v>2</v>
      </c>
      <c r="E135" s="168">
        <v>0</v>
      </c>
      <c r="F135" s="168"/>
      <c r="G135" s="168"/>
      <c r="H135" s="168"/>
      <c r="I135" s="168"/>
      <c r="J135" s="168"/>
      <c r="K135" s="168"/>
      <c r="L135" s="168"/>
      <c r="M135" s="168">
        <v>1</v>
      </c>
      <c r="N135" s="168">
        <v>0</v>
      </c>
      <c r="O135" s="168">
        <v>0</v>
      </c>
      <c r="P135" s="168">
        <v>0</v>
      </c>
      <c r="Q135" s="168">
        <v>0</v>
      </c>
      <c r="R135" s="168">
        <v>0</v>
      </c>
      <c r="S135" s="168">
        <v>0</v>
      </c>
      <c r="T135" s="169">
        <f t="shared" si="39"/>
        <v>3</v>
      </c>
      <c r="U135" s="170">
        <v>0</v>
      </c>
      <c r="V135" s="170">
        <v>0</v>
      </c>
      <c r="W135" s="171">
        <f t="shared" si="72"/>
        <v>0</v>
      </c>
      <c r="X135" s="171">
        <f t="shared" si="73"/>
        <v>0</v>
      </c>
      <c r="Y135" s="171">
        <f t="shared" si="74"/>
        <v>0</v>
      </c>
      <c r="Z135" s="171">
        <f t="shared" si="75"/>
        <v>0</v>
      </c>
      <c r="AA135" s="137"/>
    </row>
    <row r="136" spans="1:27" ht="31.5" outlineLevel="1" x14ac:dyDescent="0.25">
      <c r="A136" s="166" t="s">
        <v>116</v>
      </c>
      <c r="B136" s="167" t="s">
        <v>891</v>
      </c>
      <c r="C136" s="168" t="s">
        <v>98</v>
      </c>
      <c r="D136" s="168">
        <v>0</v>
      </c>
      <c r="E136" s="168">
        <v>0</v>
      </c>
      <c r="F136" s="168"/>
      <c r="G136" s="168"/>
      <c r="H136" s="168"/>
      <c r="I136" s="168">
        <v>1</v>
      </c>
      <c r="J136" s="168"/>
      <c r="K136" s="168"/>
      <c r="L136" s="168"/>
      <c r="M136" s="168"/>
      <c r="N136" s="168">
        <v>0</v>
      </c>
      <c r="O136" s="168">
        <v>0</v>
      </c>
      <c r="P136" s="168">
        <v>0</v>
      </c>
      <c r="Q136" s="168">
        <v>0</v>
      </c>
      <c r="R136" s="168">
        <v>0</v>
      </c>
      <c r="S136" s="168">
        <v>0</v>
      </c>
      <c r="T136" s="169">
        <f t="shared" si="39"/>
        <v>1</v>
      </c>
      <c r="U136" s="170">
        <v>0</v>
      </c>
      <c r="V136" s="170">
        <v>0</v>
      </c>
      <c r="W136" s="171">
        <f t="shared" si="72"/>
        <v>0</v>
      </c>
      <c r="X136" s="171">
        <f t="shared" si="73"/>
        <v>0</v>
      </c>
      <c r="Y136" s="171">
        <f t="shared" si="74"/>
        <v>0</v>
      </c>
      <c r="Z136" s="171">
        <f t="shared" si="75"/>
        <v>0</v>
      </c>
      <c r="AA136" s="137"/>
    </row>
    <row r="137" spans="1:27" ht="31.5" outlineLevel="1" x14ac:dyDescent="0.25">
      <c r="A137" s="166" t="s">
        <v>118</v>
      </c>
      <c r="B137" s="167" t="s">
        <v>892</v>
      </c>
      <c r="C137" s="168" t="s">
        <v>98</v>
      </c>
      <c r="D137" s="168">
        <v>0</v>
      </c>
      <c r="E137" s="168">
        <v>0</v>
      </c>
      <c r="F137" s="168"/>
      <c r="G137" s="168"/>
      <c r="H137" s="168"/>
      <c r="I137" s="168"/>
      <c r="J137" s="168">
        <v>1</v>
      </c>
      <c r="K137" s="168"/>
      <c r="L137" s="168"/>
      <c r="M137" s="168"/>
      <c r="N137" s="168">
        <v>0</v>
      </c>
      <c r="O137" s="168">
        <v>0</v>
      </c>
      <c r="P137" s="168">
        <v>0</v>
      </c>
      <c r="Q137" s="168">
        <v>0</v>
      </c>
      <c r="R137" s="168">
        <v>0</v>
      </c>
      <c r="S137" s="168">
        <v>0</v>
      </c>
      <c r="T137" s="169">
        <f t="shared" ref="T137:T197" si="76">SUM(D137:S137)</f>
        <v>1</v>
      </c>
      <c r="U137" s="170">
        <v>0</v>
      </c>
      <c r="V137" s="170">
        <v>0</v>
      </c>
      <c r="W137" s="171">
        <f t="shared" si="72"/>
        <v>0</v>
      </c>
      <c r="X137" s="171">
        <f t="shared" si="73"/>
        <v>0</v>
      </c>
      <c r="Y137" s="171">
        <f t="shared" si="74"/>
        <v>0</v>
      </c>
      <c r="Z137" s="171">
        <f t="shared" si="75"/>
        <v>0</v>
      </c>
      <c r="AA137" s="137"/>
    </row>
    <row r="138" spans="1:27" ht="31.5" outlineLevel="1" x14ac:dyDescent="0.25">
      <c r="A138" s="166" t="s">
        <v>120</v>
      </c>
      <c r="B138" s="167" t="s">
        <v>893</v>
      </c>
      <c r="C138" s="168" t="s">
        <v>98</v>
      </c>
      <c r="D138" s="168">
        <v>0</v>
      </c>
      <c r="E138" s="168">
        <v>0</v>
      </c>
      <c r="F138" s="168"/>
      <c r="G138" s="168"/>
      <c r="H138" s="168"/>
      <c r="I138" s="168"/>
      <c r="J138" s="168">
        <v>1</v>
      </c>
      <c r="K138" s="168"/>
      <c r="L138" s="168"/>
      <c r="M138" s="168"/>
      <c r="N138" s="168">
        <v>0</v>
      </c>
      <c r="O138" s="168">
        <v>0</v>
      </c>
      <c r="P138" s="168">
        <v>0</v>
      </c>
      <c r="Q138" s="168">
        <v>0</v>
      </c>
      <c r="R138" s="168">
        <v>0</v>
      </c>
      <c r="S138" s="168">
        <v>0</v>
      </c>
      <c r="T138" s="169">
        <f t="shared" si="76"/>
        <v>1</v>
      </c>
      <c r="U138" s="170">
        <v>0</v>
      </c>
      <c r="V138" s="170">
        <v>0</v>
      </c>
      <c r="W138" s="171">
        <f t="shared" si="72"/>
        <v>0</v>
      </c>
      <c r="X138" s="171">
        <f t="shared" si="73"/>
        <v>0</v>
      </c>
      <c r="Y138" s="171">
        <f t="shared" si="74"/>
        <v>0</v>
      </c>
      <c r="Z138" s="171">
        <f t="shared" si="75"/>
        <v>0</v>
      </c>
      <c r="AA138" s="137"/>
    </row>
    <row r="139" spans="1:27" ht="15.75" x14ac:dyDescent="0.25">
      <c r="A139" s="160" t="s">
        <v>160</v>
      </c>
      <c r="B139" s="161" t="s">
        <v>161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84"/>
      <c r="P139" s="184"/>
      <c r="Q139" s="184"/>
      <c r="R139" s="184"/>
      <c r="S139" s="162"/>
      <c r="T139" s="162"/>
      <c r="U139" s="173"/>
      <c r="V139" s="173"/>
      <c r="W139" s="173"/>
      <c r="X139" s="205">
        <f>SUBTOTAL(9,X140:X141)</f>
        <v>0</v>
      </c>
      <c r="Y139" s="205">
        <f t="shared" ref="Y139:Z139" si="77">SUBTOTAL(9,Y140:Y141)</f>
        <v>0</v>
      </c>
      <c r="Z139" s="205">
        <f t="shared" si="77"/>
        <v>0</v>
      </c>
      <c r="AA139" s="136"/>
    </row>
    <row r="140" spans="1:27" ht="31.5" outlineLevel="1" x14ac:dyDescent="0.25">
      <c r="A140" s="166" t="s">
        <v>162</v>
      </c>
      <c r="B140" s="167" t="s">
        <v>685</v>
      </c>
      <c r="C140" s="168" t="s">
        <v>98</v>
      </c>
      <c r="D140" s="168">
        <v>3</v>
      </c>
      <c r="E140" s="168">
        <v>0</v>
      </c>
      <c r="F140" s="168"/>
      <c r="G140" s="168"/>
      <c r="H140" s="168">
        <v>18</v>
      </c>
      <c r="I140" s="168"/>
      <c r="J140" s="168"/>
      <c r="K140" s="168"/>
      <c r="L140" s="168">
        <v>13</v>
      </c>
      <c r="M140" s="168">
        <v>8</v>
      </c>
      <c r="N140" s="168">
        <v>14</v>
      </c>
      <c r="O140" s="168">
        <v>2</v>
      </c>
      <c r="P140" s="168">
        <v>0</v>
      </c>
      <c r="Q140" s="168">
        <v>6</v>
      </c>
      <c r="R140" s="168">
        <v>17</v>
      </c>
      <c r="S140" s="168">
        <v>8</v>
      </c>
      <c r="T140" s="169">
        <f t="shared" si="76"/>
        <v>89</v>
      </c>
      <c r="U140" s="170">
        <v>0</v>
      </c>
      <c r="V140" s="170">
        <v>0</v>
      </c>
      <c r="W140" s="171">
        <f t="shared" ref="W140" si="78">V140+U140</f>
        <v>0</v>
      </c>
      <c r="X140" s="171">
        <f t="shared" ref="X140" si="79">$T140*U140</f>
        <v>0</v>
      </c>
      <c r="Y140" s="171">
        <f t="shared" ref="Y140" si="80">$T140*V140</f>
        <v>0</v>
      </c>
      <c r="Z140" s="171">
        <f t="shared" ref="Z140" si="81">Y140+X140</f>
        <v>0</v>
      </c>
      <c r="AA140" s="137"/>
    </row>
    <row r="141" spans="1:27" ht="31.5" outlineLevel="1" x14ac:dyDescent="0.25">
      <c r="A141" s="166" t="s">
        <v>164</v>
      </c>
      <c r="B141" s="167" t="s">
        <v>684</v>
      </c>
      <c r="C141" s="168" t="s">
        <v>98</v>
      </c>
      <c r="D141" s="168">
        <v>0</v>
      </c>
      <c r="E141" s="168">
        <v>0</v>
      </c>
      <c r="F141" s="168"/>
      <c r="G141" s="168"/>
      <c r="H141" s="168"/>
      <c r="I141" s="168"/>
      <c r="J141" s="168">
        <v>2</v>
      </c>
      <c r="K141" s="168"/>
      <c r="L141" s="168"/>
      <c r="M141" s="168">
        <v>2</v>
      </c>
      <c r="N141" s="168">
        <v>0</v>
      </c>
      <c r="O141" s="168">
        <v>10</v>
      </c>
      <c r="P141" s="168">
        <v>0</v>
      </c>
      <c r="Q141" s="168">
        <v>4</v>
      </c>
      <c r="R141" s="168">
        <v>0</v>
      </c>
      <c r="S141" s="168">
        <v>5</v>
      </c>
      <c r="T141" s="169">
        <f t="shared" si="76"/>
        <v>23</v>
      </c>
      <c r="U141" s="170">
        <v>0</v>
      </c>
      <c r="V141" s="170">
        <v>0</v>
      </c>
      <c r="W141" s="171">
        <f t="shared" ref="W141" si="82">V141+U141</f>
        <v>0</v>
      </c>
      <c r="X141" s="171">
        <f t="shared" ref="X141" si="83">$T141*U141</f>
        <v>0</v>
      </c>
      <c r="Y141" s="171">
        <f t="shared" ref="Y141" si="84">$T141*V141</f>
        <v>0</v>
      </c>
      <c r="Z141" s="171">
        <f t="shared" ref="Z141" si="85">Y141+X141</f>
        <v>0</v>
      </c>
      <c r="AA141" s="137"/>
    </row>
    <row r="142" spans="1:27" ht="47.25" x14ac:dyDescent="0.25">
      <c r="A142" s="160" t="s">
        <v>168</v>
      </c>
      <c r="B142" s="161" t="s">
        <v>743</v>
      </c>
      <c r="C142" s="184" t="s">
        <v>98</v>
      </c>
      <c r="D142" s="292">
        <v>36</v>
      </c>
      <c r="E142" s="293"/>
      <c r="F142" s="184"/>
      <c r="G142" s="292">
        <v>216</v>
      </c>
      <c r="H142" s="293"/>
      <c r="I142" s="273">
        <v>24</v>
      </c>
      <c r="J142" s="273"/>
      <c r="K142" s="273"/>
      <c r="L142" s="273">
        <v>276</v>
      </c>
      <c r="M142" s="273"/>
      <c r="N142" s="185"/>
      <c r="O142" s="184"/>
      <c r="P142" s="184"/>
      <c r="Q142" s="184"/>
      <c r="R142" s="273"/>
      <c r="S142" s="273"/>
      <c r="T142" s="173"/>
      <c r="U142" s="173"/>
      <c r="V142" s="173"/>
      <c r="W142" s="173"/>
      <c r="X142" s="205">
        <f>SUBTOTAL(9,X143:X175)</f>
        <v>0</v>
      </c>
      <c r="Y142" s="205">
        <f t="shared" ref="Y142:Z142" si="86">SUBTOTAL(9,Y143:Y175)</f>
        <v>0</v>
      </c>
      <c r="Z142" s="205">
        <f t="shared" si="86"/>
        <v>0</v>
      </c>
      <c r="AA142" s="136"/>
    </row>
    <row r="143" spans="1:27" ht="15.75" outlineLevel="1" x14ac:dyDescent="0.25">
      <c r="A143" s="166" t="s">
        <v>170</v>
      </c>
      <c r="B143" s="167" t="s">
        <v>735</v>
      </c>
      <c r="C143" s="168" t="s">
        <v>172</v>
      </c>
      <c r="D143" s="270">
        <v>7.1000000000000002E-4</v>
      </c>
      <c r="E143" s="271"/>
      <c r="F143" s="168"/>
      <c r="G143" s="272">
        <f>2.12*G142/1000</f>
        <v>0.45791999999999999</v>
      </c>
      <c r="H143" s="272"/>
      <c r="I143" s="272">
        <f>2.12*I142</f>
        <v>50.88</v>
      </c>
      <c r="J143" s="272"/>
      <c r="K143" s="272"/>
      <c r="L143" s="272">
        <f>2.12*L142</f>
        <v>585.12</v>
      </c>
      <c r="M143" s="272"/>
      <c r="N143" s="270">
        <v>7.1000000000000002E-4</v>
      </c>
      <c r="O143" s="271"/>
      <c r="P143" s="168">
        <v>0</v>
      </c>
      <c r="Q143" s="270">
        <v>0</v>
      </c>
      <c r="R143" s="271"/>
      <c r="S143" s="168">
        <v>7.1000000000000002E-4</v>
      </c>
      <c r="T143" s="169">
        <f t="shared" si="76"/>
        <v>636.46005000000002</v>
      </c>
      <c r="U143" s="170">
        <v>0</v>
      </c>
      <c r="V143" s="170">
        <v>0</v>
      </c>
      <c r="W143" s="171">
        <f t="shared" ref="W143" si="87">V143+U143</f>
        <v>0</v>
      </c>
      <c r="X143" s="171">
        <f t="shared" ref="X143" si="88">$T143*U143</f>
        <v>0</v>
      </c>
      <c r="Y143" s="171">
        <f t="shared" ref="Y143" si="89">$T143*V143</f>
        <v>0</v>
      </c>
      <c r="Z143" s="171">
        <f t="shared" ref="Z143" si="90">Y143+X143</f>
        <v>0</v>
      </c>
      <c r="AA143" s="137"/>
    </row>
    <row r="144" spans="1:27" ht="15.75" outlineLevel="1" x14ac:dyDescent="0.25">
      <c r="A144" s="166" t="s">
        <v>173</v>
      </c>
      <c r="B144" s="167" t="s">
        <v>736</v>
      </c>
      <c r="C144" s="168" t="s">
        <v>172</v>
      </c>
      <c r="D144" s="270">
        <v>1.583E-2</v>
      </c>
      <c r="E144" s="271"/>
      <c r="F144" s="168"/>
      <c r="G144" s="272"/>
      <c r="H144" s="272"/>
      <c r="I144" s="272"/>
      <c r="J144" s="272"/>
      <c r="K144" s="272"/>
      <c r="L144" s="272"/>
      <c r="M144" s="272"/>
      <c r="N144" s="270">
        <v>6.429E-2</v>
      </c>
      <c r="O144" s="271"/>
      <c r="P144" s="168">
        <v>2.496E-2</v>
      </c>
      <c r="Q144" s="270">
        <v>1.3520000000000001E-2</v>
      </c>
      <c r="R144" s="271"/>
      <c r="S144" s="168">
        <f>0.03168+0.00096</f>
        <v>3.2640000000000002E-2</v>
      </c>
      <c r="T144" s="169">
        <f t="shared" si="76"/>
        <v>0.15123999999999999</v>
      </c>
      <c r="U144" s="170">
        <v>0</v>
      </c>
      <c r="V144" s="170">
        <v>0</v>
      </c>
      <c r="W144" s="171">
        <f t="shared" ref="W144:W175" si="91">V144+U144</f>
        <v>0</v>
      </c>
      <c r="X144" s="171">
        <f t="shared" ref="X144:X175" si="92">$T144*U144</f>
        <v>0</v>
      </c>
      <c r="Y144" s="171">
        <f t="shared" ref="Y144:Y175" si="93">$T144*V144</f>
        <v>0</v>
      </c>
      <c r="Z144" s="171">
        <f t="shared" ref="Z144:Z175" si="94">Y144+X144</f>
        <v>0</v>
      </c>
      <c r="AA144" s="137"/>
    </row>
    <row r="145" spans="1:27" ht="15.75" outlineLevel="1" x14ac:dyDescent="0.25">
      <c r="A145" s="166" t="s">
        <v>175</v>
      </c>
      <c r="B145" s="167" t="s">
        <v>738</v>
      </c>
      <c r="C145" s="168" t="s">
        <v>172</v>
      </c>
      <c r="D145" s="270">
        <v>0.13847000000000001</v>
      </c>
      <c r="E145" s="271"/>
      <c r="F145" s="168"/>
      <c r="G145" s="272"/>
      <c r="H145" s="272"/>
      <c r="I145" s="272"/>
      <c r="J145" s="272"/>
      <c r="K145" s="272"/>
      <c r="L145" s="272"/>
      <c r="M145" s="272"/>
      <c r="N145" s="270">
        <v>0.23315</v>
      </c>
      <c r="O145" s="271"/>
      <c r="P145" s="168">
        <v>4.224E-2</v>
      </c>
      <c r="Q145" s="270">
        <v>0.30143999999999999</v>
      </c>
      <c r="R145" s="271"/>
      <c r="S145" s="168">
        <v>9.4560000000000005E-2</v>
      </c>
      <c r="T145" s="169">
        <f t="shared" si="76"/>
        <v>0.80986000000000002</v>
      </c>
      <c r="U145" s="170">
        <v>0</v>
      </c>
      <c r="V145" s="170">
        <v>0</v>
      </c>
      <c r="W145" s="171">
        <f t="shared" si="91"/>
        <v>0</v>
      </c>
      <c r="X145" s="171">
        <f t="shared" si="92"/>
        <v>0</v>
      </c>
      <c r="Y145" s="171">
        <f t="shared" si="93"/>
        <v>0</v>
      </c>
      <c r="Z145" s="171">
        <f t="shared" si="94"/>
        <v>0</v>
      </c>
      <c r="AA145" s="137"/>
    </row>
    <row r="146" spans="1:27" ht="15.75" outlineLevel="1" x14ac:dyDescent="0.25">
      <c r="A146" s="166" t="s">
        <v>177</v>
      </c>
      <c r="B146" s="167" t="s">
        <v>737</v>
      </c>
      <c r="C146" s="168" t="s">
        <v>172</v>
      </c>
      <c r="D146" s="270">
        <v>0.57650000000000001</v>
      </c>
      <c r="E146" s="271"/>
      <c r="F146" s="168"/>
      <c r="G146" s="272"/>
      <c r="H146" s="272"/>
      <c r="I146" s="272"/>
      <c r="J146" s="272"/>
      <c r="K146" s="272"/>
      <c r="L146" s="272"/>
      <c r="M146" s="272"/>
      <c r="N146" s="270">
        <v>1.14981</v>
      </c>
      <c r="O146" s="271"/>
      <c r="P146" s="168">
        <v>0.2656</v>
      </c>
      <c r="Q146" s="270">
        <v>1.11938</v>
      </c>
      <c r="R146" s="271"/>
      <c r="S146" s="168">
        <f>0.4736+0.0208</f>
        <v>0.49440000000000001</v>
      </c>
      <c r="T146" s="169">
        <f t="shared" si="76"/>
        <v>3.6056900000000005</v>
      </c>
      <c r="U146" s="170">
        <v>0</v>
      </c>
      <c r="V146" s="170">
        <v>0</v>
      </c>
      <c r="W146" s="171">
        <f t="shared" si="91"/>
        <v>0</v>
      </c>
      <c r="X146" s="171">
        <f t="shared" si="92"/>
        <v>0</v>
      </c>
      <c r="Y146" s="171">
        <f t="shared" si="93"/>
        <v>0</v>
      </c>
      <c r="Z146" s="171">
        <f t="shared" si="94"/>
        <v>0</v>
      </c>
      <c r="AA146" s="137"/>
    </row>
    <row r="147" spans="1:27" ht="15.75" outlineLevel="1" x14ac:dyDescent="0.25">
      <c r="A147" s="166" t="s">
        <v>179</v>
      </c>
      <c r="B147" s="167" t="s">
        <v>734</v>
      </c>
      <c r="C147" s="168" t="s">
        <v>172</v>
      </c>
      <c r="D147" s="270">
        <f>0.76302+0.00212</f>
        <v>0.76514000000000004</v>
      </c>
      <c r="E147" s="271"/>
      <c r="F147" s="168"/>
      <c r="G147" s="272">
        <f>2.12*G142/1000</f>
        <v>0.45791999999999999</v>
      </c>
      <c r="H147" s="272"/>
      <c r="I147" s="272">
        <f>2.12*I142</f>
        <v>50.88</v>
      </c>
      <c r="J147" s="272"/>
      <c r="K147" s="272"/>
      <c r="L147" s="272">
        <f>2.12*L142</f>
        <v>585.12</v>
      </c>
      <c r="M147" s="272"/>
      <c r="N147" s="270">
        <f>1.5218+0.00212</f>
        <v>1.5239199999999999</v>
      </c>
      <c r="O147" s="271"/>
      <c r="P147" s="168">
        <v>0.35192000000000001</v>
      </c>
      <c r="Q147" s="270">
        <v>1.48153</v>
      </c>
      <c r="R147" s="271"/>
      <c r="S147" s="168">
        <f>0.62752+0.01908+0.00212</f>
        <v>0.64871999999999996</v>
      </c>
      <c r="T147" s="169">
        <f t="shared" si="76"/>
        <v>641.22915</v>
      </c>
      <c r="U147" s="170">
        <v>0</v>
      </c>
      <c r="V147" s="170">
        <v>0</v>
      </c>
      <c r="W147" s="171">
        <f t="shared" si="91"/>
        <v>0</v>
      </c>
      <c r="X147" s="171">
        <f t="shared" si="92"/>
        <v>0</v>
      </c>
      <c r="Y147" s="171">
        <f t="shared" si="93"/>
        <v>0</v>
      </c>
      <c r="Z147" s="171">
        <f t="shared" si="94"/>
        <v>0</v>
      </c>
      <c r="AA147" s="137"/>
    </row>
    <row r="148" spans="1:27" ht="15.75" outlineLevel="1" x14ac:dyDescent="0.25">
      <c r="A148" s="166" t="s">
        <v>181</v>
      </c>
      <c r="B148" s="167" t="s">
        <v>176</v>
      </c>
      <c r="C148" s="168" t="s">
        <v>172</v>
      </c>
      <c r="D148" s="270">
        <v>0</v>
      </c>
      <c r="E148" s="271"/>
      <c r="F148" s="168"/>
      <c r="G148" s="272"/>
      <c r="H148" s="272"/>
      <c r="I148" s="272">
        <f>0*I142</f>
        <v>0</v>
      </c>
      <c r="J148" s="272"/>
      <c r="K148" s="272"/>
      <c r="L148" s="272">
        <f>0.23*L142</f>
        <v>63.480000000000004</v>
      </c>
      <c r="M148" s="272"/>
      <c r="N148" s="270">
        <v>0</v>
      </c>
      <c r="O148" s="271"/>
      <c r="P148" s="168">
        <v>0</v>
      </c>
      <c r="Q148" s="270">
        <v>0</v>
      </c>
      <c r="R148" s="271"/>
      <c r="S148" s="168">
        <v>0</v>
      </c>
      <c r="T148" s="169">
        <f t="shared" si="76"/>
        <v>63.480000000000004</v>
      </c>
      <c r="U148" s="170">
        <v>0</v>
      </c>
      <c r="V148" s="170">
        <v>0</v>
      </c>
      <c r="W148" s="171">
        <f t="shared" si="91"/>
        <v>0</v>
      </c>
      <c r="X148" s="171">
        <f t="shared" si="92"/>
        <v>0</v>
      </c>
      <c r="Y148" s="171">
        <f t="shared" si="93"/>
        <v>0</v>
      </c>
      <c r="Z148" s="171">
        <f t="shared" si="94"/>
        <v>0</v>
      </c>
      <c r="AA148" s="137"/>
    </row>
    <row r="149" spans="1:27" ht="15.75" outlineLevel="1" x14ac:dyDescent="0.25">
      <c r="A149" s="166" t="s">
        <v>697</v>
      </c>
      <c r="B149" s="167" t="s">
        <v>696</v>
      </c>
      <c r="C149" s="168" t="s">
        <v>172</v>
      </c>
      <c r="D149" s="270">
        <v>0</v>
      </c>
      <c r="E149" s="271"/>
      <c r="F149" s="168"/>
      <c r="G149" s="272">
        <f>0.23*G142/1000</f>
        <v>4.9680000000000002E-2</v>
      </c>
      <c r="H149" s="272"/>
      <c r="I149" s="272"/>
      <c r="J149" s="272"/>
      <c r="K149" s="272"/>
      <c r="L149" s="272"/>
      <c r="M149" s="272"/>
      <c r="N149" s="270">
        <v>0</v>
      </c>
      <c r="O149" s="271"/>
      <c r="P149" s="168">
        <v>0</v>
      </c>
      <c r="Q149" s="270">
        <v>0</v>
      </c>
      <c r="R149" s="271"/>
      <c r="S149" s="178">
        <v>2.3000000000000001E-4</v>
      </c>
      <c r="T149" s="169">
        <f t="shared" si="76"/>
        <v>4.9910000000000003E-2</v>
      </c>
      <c r="U149" s="170">
        <v>0</v>
      </c>
      <c r="V149" s="170">
        <v>0</v>
      </c>
      <c r="W149" s="171">
        <f t="shared" si="91"/>
        <v>0</v>
      </c>
      <c r="X149" s="171">
        <f t="shared" si="92"/>
        <v>0</v>
      </c>
      <c r="Y149" s="171">
        <f t="shared" si="93"/>
        <v>0</v>
      </c>
      <c r="Z149" s="171">
        <f t="shared" si="94"/>
        <v>0</v>
      </c>
      <c r="AA149" s="137"/>
    </row>
    <row r="150" spans="1:27" ht="15.75" outlineLevel="1" x14ac:dyDescent="0.25">
      <c r="A150" s="166" t="s">
        <v>844</v>
      </c>
      <c r="B150" s="167" t="s">
        <v>741</v>
      </c>
      <c r="C150" s="168" t="s">
        <v>172</v>
      </c>
      <c r="D150" s="270">
        <v>2.3000000000000001E-4</v>
      </c>
      <c r="E150" s="271"/>
      <c r="F150" s="168"/>
      <c r="G150" s="272"/>
      <c r="H150" s="272"/>
      <c r="I150" s="272"/>
      <c r="J150" s="272"/>
      <c r="K150" s="272"/>
      <c r="L150" s="272"/>
      <c r="M150" s="272"/>
      <c r="N150" s="270">
        <v>0</v>
      </c>
      <c r="O150" s="271"/>
      <c r="P150" s="168">
        <v>0</v>
      </c>
      <c r="Q150" s="270">
        <v>0</v>
      </c>
      <c r="R150" s="271"/>
      <c r="S150" s="178">
        <v>0</v>
      </c>
      <c r="T150" s="169">
        <f t="shared" si="76"/>
        <v>2.3000000000000001E-4</v>
      </c>
      <c r="U150" s="170">
        <v>0</v>
      </c>
      <c r="V150" s="170">
        <v>0</v>
      </c>
      <c r="W150" s="171">
        <f t="shared" si="91"/>
        <v>0</v>
      </c>
      <c r="X150" s="171">
        <f t="shared" si="92"/>
        <v>0</v>
      </c>
      <c r="Y150" s="171">
        <f t="shared" si="93"/>
        <v>0</v>
      </c>
      <c r="Z150" s="171">
        <f t="shared" si="94"/>
        <v>0</v>
      </c>
      <c r="AA150" s="137"/>
    </row>
    <row r="151" spans="1:27" ht="15.75" outlineLevel="1" x14ac:dyDescent="0.25">
      <c r="A151" s="166" t="s">
        <v>845</v>
      </c>
      <c r="B151" s="167" t="s">
        <v>742</v>
      </c>
      <c r="C151" s="168" t="s">
        <v>172</v>
      </c>
      <c r="D151" s="270">
        <v>2.0820000000000002E-2</v>
      </c>
      <c r="E151" s="271"/>
      <c r="F151" s="168"/>
      <c r="G151" s="272"/>
      <c r="H151" s="272"/>
      <c r="I151" s="272"/>
      <c r="J151" s="272"/>
      <c r="K151" s="272"/>
      <c r="L151" s="272"/>
      <c r="M151" s="272"/>
      <c r="N151" s="270">
        <v>8.4570000000000006E-2</v>
      </c>
      <c r="O151" s="271"/>
      <c r="P151" s="168">
        <v>3.354E-2</v>
      </c>
      <c r="Q151" s="270">
        <v>1.7780000000000001E-2</v>
      </c>
      <c r="R151" s="271"/>
      <c r="S151" s="178">
        <f>0.04257+0.00129</f>
        <v>4.3859999999999996E-2</v>
      </c>
      <c r="T151" s="169">
        <f t="shared" si="76"/>
        <v>0.20056999999999997</v>
      </c>
      <c r="U151" s="170">
        <v>0</v>
      </c>
      <c r="V151" s="170">
        <v>0</v>
      </c>
      <c r="W151" s="171">
        <f t="shared" si="91"/>
        <v>0</v>
      </c>
      <c r="X151" s="171">
        <f t="shared" si="92"/>
        <v>0</v>
      </c>
      <c r="Y151" s="171">
        <f t="shared" si="93"/>
        <v>0</v>
      </c>
      <c r="Z151" s="171">
        <f t="shared" si="94"/>
        <v>0</v>
      </c>
      <c r="AA151" s="137"/>
    </row>
    <row r="152" spans="1:27" ht="15.75" outlineLevel="1" x14ac:dyDescent="0.25">
      <c r="A152" s="166" t="s">
        <v>846</v>
      </c>
      <c r="B152" s="167" t="s">
        <v>726</v>
      </c>
      <c r="C152" s="168" t="s">
        <v>172</v>
      </c>
      <c r="D152" s="270">
        <v>1.7680000000000001E-2</v>
      </c>
      <c r="E152" s="271"/>
      <c r="F152" s="168"/>
      <c r="G152" s="272"/>
      <c r="H152" s="272"/>
      <c r="I152" s="272"/>
      <c r="J152" s="272"/>
      <c r="K152" s="272"/>
      <c r="L152" s="272"/>
      <c r="M152" s="272"/>
      <c r="N152" s="270">
        <v>0</v>
      </c>
      <c r="O152" s="271"/>
      <c r="P152" s="168">
        <v>0</v>
      </c>
      <c r="Q152" s="270">
        <v>0</v>
      </c>
      <c r="R152" s="271"/>
      <c r="S152" s="178">
        <v>0</v>
      </c>
      <c r="T152" s="169">
        <f t="shared" si="76"/>
        <v>1.7680000000000001E-2</v>
      </c>
      <c r="U152" s="170">
        <v>0</v>
      </c>
      <c r="V152" s="170">
        <v>0</v>
      </c>
      <c r="W152" s="171">
        <f t="shared" si="91"/>
        <v>0</v>
      </c>
      <c r="X152" s="171">
        <f t="shared" si="92"/>
        <v>0</v>
      </c>
      <c r="Y152" s="171">
        <f t="shared" si="93"/>
        <v>0</v>
      </c>
      <c r="Z152" s="171">
        <f t="shared" si="94"/>
        <v>0</v>
      </c>
      <c r="AA152" s="137"/>
    </row>
    <row r="153" spans="1:27" ht="15.75" outlineLevel="1" x14ac:dyDescent="0.25">
      <c r="A153" s="166" t="s">
        <v>847</v>
      </c>
      <c r="B153" s="167" t="s">
        <v>772</v>
      </c>
      <c r="C153" s="168" t="s">
        <v>172</v>
      </c>
      <c r="D153" s="270">
        <v>0</v>
      </c>
      <c r="E153" s="271"/>
      <c r="F153" s="168"/>
      <c r="G153" s="272"/>
      <c r="H153" s="272"/>
      <c r="I153" s="272"/>
      <c r="J153" s="272"/>
      <c r="K153" s="272"/>
      <c r="L153" s="272"/>
      <c r="M153" s="272"/>
      <c r="N153" s="270">
        <v>2.5510000000000001E-2</v>
      </c>
      <c r="O153" s="271"/>
      <c r="P153" s="168">
        <v>0</v>
      </c>
      <c r="Q153" s="270">
        <v>0</v>
      </c>
      <c r="R153" s="271"/>
      <c r="S153" s="178">
        <v>0</v>
      </c>
      <c r="T153" s="169">
        <f t="shared" si="76"/>
        <v>2.5510000000000001E-2</v>
      </c>
      <c r="U153" s="170">
        <v>0</v>
      </c>
      <c r="V153" s="170">
        <v>0</v>
      </c>
      <c r="W153" s="171">
        <f t="shared" si="91"/>
        <v>0</v>
      </c>
      <c r="X153" s="171">
        <f t="shared" si="92"/>
        <v>0</v>
      </c>
      <c r="Y153" s="171">
        <f t="shared" si="93"/>
        <v>0</v>
      </c>
      <c r="Z153" s="171">
        <f t="shared" si="94"/>
        <v>0</v>
      </c>
      <c r="AA153" s="137"/>
    </row>
    <row r="154" spans="1:27" ht="15.75" outlineLevel="1" x14ac:dyDescent="0.25">
      <c r="A154" s="166" t="s">
        <v>717</v>
      </c>
      <c r="B154" s="167" t="s">
        <v>178</v>
      </c>
      <c r="C154" s="168" t="s">
        <v>172</v>
      </c>
      <c r="D154" s="270">
        <f>0.00083</f>
        <v>8.3000000000000001E-4</v>
      </c>
      <c r="E154" s="271"/>
      <c r="F154" s="168"/>
      <c r="G154" s="272">
        <f>0.83*G142/1000</f>
        <v>0.17927999999999999</v>
      </c>
      <c r="H154" s="272"/>
      <c r="I154" s="272">
        <f>0.89*I142</f>
        <v>21.36</v>
      </c>
      <c r="J154" s="272"/>
      <c r="K154" s="272"/>
      <c r="L154" s="272">
        <f>0.83*L142</f>
        <v>229.07999999999998</v>
      </c>
      <c r="M154" s="272"/>
      <c r="N154" s="270">
        <v>8.3000000000000001E-4</v>
      </c>
      <c r="O154" s="271"/>
      <c r="P154" s="168">
        <v>0</v>
      </c>
      <c r="Q154" s="270">
        <v>0</v>
      </c>
      <c r="R154" s="271"/>
      <c r="S154" s="178">
        <v>8.3000000000000001E-4</v>
      </c>
      <c r="T154" s="169">
        <f t="shared" si="76"/>
        <v>250.62177</v>
      </c>
      <c r="U154" s="170">
        <v>0</v>
      </c>
      <c r="V154" s="170">
        <v>0</v>
      </c>
      <c r="W154" s="171">
        <f t="shared" si="91"/>
        <v>0</v>
      </c>
      <c r="X154" s="171">
        <f t="shared" si="92"/>
        <v>0</v>
      </c>
      <c r="Y154" s="171">
        <f t="shared" si="93"/>
        <v>0</v>
      </c>
      <c r="Z154" s="171">
        <f t="shared" si="94"/>
        <v>0</v>
      </c>
      <c r="AA154" s="137"/>
    </row>
    <row r="155" spans="1:27" ht="15.75" outlineLevel="1" x14ac:dyDescent="0.25">
      <c r="A155" s="166" t="s">
        <v>718</v>
      </c>
      <c r="B155" s="167" t="s">
        <v>823</v>
      </c>
      <c r="C155" s="168" t="s">
        <v>172</v>
      </c>
      <c r="D155" s="270">
        <v>0</v>
      </c>
      <c r="E155" s="271"/>
      <c r="F155" s="168"/>
      <c r="G155" s="272"/>
      <c r="H155" s="272"/>
      <c r="I155" s="272"/>
      <c r="J155" s="272"/>
      <c r="K155" s="272"/>
      <c r="L155" s="272"/>
      <c r="M155" s="272"/>
      <c r="N155" s="270">
        <v>0</v>
      </c>
      <c r="O155" s="271"/>
      <c r="P155" s="168">
        <v>0</v>
      </c>
      <c r="Q155" s="270">
        <v>0</v>
      </c>
      <c r="R155" s="271"/>
      <c r="S155" s="178">
        <v>1.3860000000000001E-2</v>
      </c>
      <c r="T155" s="169">
        <f t="shared" si="76"/>
        <v>1.3860000000000001E-2</v>
      </c>
      <c r="U155" s="170">
        <v>0</v>
      </c>
      <c r="V155" s="170">
        <v>0</v>
      </c>
      <c r="W155" s="171">
        <f t="shared" si="91"/>
        <v>0</v>
      </c>
      <c r="X155" s="171">
        <f t="shared" si="92"/>
        <v>0</v>
      </c>
      <c r="Y155" s="171">
        <f t="shared" si="93"/>
        <v>0</v>
      </c>
      <c r="Z155" s="171">
        <f t="shared" si="94"/>
        <v>0</v>
      </c>
      <c r="AA155" s="137"/>
    </row>
    <row r="156" spans="1:27" ht="15.75" outlineLevel="1" x14ac:dyDescent="0.25">
      <c r="A156" s="166" t="s">
        <v>719</v>
      </c>
      <c r="B156" s="167" t="s">
        <v>825</v>
      </c>
      <c r="C156" s="168" t="s">
        <v>172</v>
      </c>
      <c r="D156" s="270">
        <v>0</v>
      </c>
      <c r="E156" s="271"/>
      <c r="F156" s="168"/>
      <c r="G156" s="272"/>
      <c r="H156" s="272"/>
      <c r="I156" s="272"/>
      <c r="J156" s="272"/>
      <c r="K156" s="272"/>
      <c r="L156" s="272"/>
      <c r="M156" s="272"/>
      <c r="N156" s="270">
        <v>0</v>
      </c>
      <c r="O156" s="271"/>
      <c r="P156" s="168">
        <v>0</v>
      </c>
      <c r="Q156" s="270">
        <v>0</v>
      </c>
      <c r="R156" s="271"/>
      <c r="S156" s="178">
        <v>1.1100000000000001E-3</v>
      </c>
      <c r="T156" s="169">
        <f t="shared" si="76"/>
        <v>1.1100000000000001E-3</v>
      </c>
      <c r="U156" s="170">
        <v>0</v>
      </c>
      <c r="V156" s="170">
        <v>0</v>
      </c>
      <c r="W156" s="171">
        <f t="shared" si="91"/>
        <v>0</v>
      </c>
      <c r="X156" s="171">
        <f t="shared" si="92"/>
        <v>0</v>
      </c>
      <c r="Y156" s="171">
        <f t="shared" si="93"/>
        <v>0</v>
      </c>
      <c r="Z156" s="171">
        <f t="shared" si="94"/>
        <v>0</v>
      </c>
      <c r="AA156" s="137"/>
    </row>
    <row r="157" spans="1:27" ht="15.75" outlineLevel="1" x14ac:dyDescent="0.25">
      <c r="A157" s="166" t="s">
        <v>848</v>
      </c>
      <c r="B157" s="167" t="s">
        <v>769</v>
      </c>
      <c r="C157" s="168" t="s">
        <v>172</v>
      </c>
      <c r="D157" s="270">
        <v>0</v>
      </c>
      <c r="E157" s="271"/>
      <c r="F157" s="168"/>
      <c r="G157" s="272"/>
      <c r="H157" s="272"/>
      <c r="I157" s="272"/>
      <c r="J157" s="272"/>
      <c r="K157" s="272"/>
      <c r="L157" s="272"/>
      <c r="M157" s="272"/>
      <c r="N157" s="270">
        <v>9.0299999999999998E-3</v>
      </c>
      <c r="O157" s="271"/>
      <c r="P157" s="168">
        <v>0</v>
      </c>
      <c r="Q157" s="270">
        <v>0</v>
      </c>
      <c r="R157" s="271"/>
      <c r="S157" s="178">
        <v>0</v>
      </c>
      <c r="T157" s="169">
        <f t="shared" si="76"/>
        <v>9.0299999999999998E-3</v>
      </c>
      <c r="U157" s="170">
        <v>0</v>
      </c>
      <c r="V157" s="170">
        <v>0</v>
      </c>
      <c r="W157" s="171">
        <f t="shared" si="91"/>
        <v>0</v>
      </c>
      <c r="X157" s="171">
        <f t="shared" si="92"/>
        <v>0</v>
      </c>
      <c r="Y157" s="171">
        <f t="shared" si="93"/>
        <v>0</v>
      </c>
      <c r="Z157" s="171">
        <f t="shared" si="94"/>
        <v>0</v>
      </c>
      <c r="AA157" s="137"/>
    </row>
    <row r="158" spans="1:27" ht="15.75" outlineLevel="1" x14ac:dyDescent="0.25">
      <c r="A158" s="166" t="s">
        <v>849</v>
      </c>
      <c r="B158" s="167" t="s">
        <v>727</v>
      </c>
      <c r="C158" s="168" t="s">
        <v>172</v>
      </c>
      <c r="D158" s="270">
        <v>0.30424000000000001</v>
      </c>
      <c r="E158" s="271"/>
      <c r="F158" s="168"/>
      <c r="G158" s="272"/>
      <c r="H158" s="272"/>
      <c r="I158" s="272"/>
      <c r="J158" s="272"/>
      <c r="K158" s="272"/>
      <c r="L158" s="272"/>
      <c r="M158" s="272"/>
      <c r="N158" s="270">
        <f>0.45636</f>
        <v>0.45635999999999999</v>
      </c>
      <c r="O158" s="271"/>
      <c r="P158" s="168">
        <v>0.1016</v>
      </c>
      <c r="Q158" s="270">
        <v>0.71243999999999996</v>
      </c>
      <c r="R158" s="271"/>
      <c r="S158" s="178">
        <v>0.20574000000000001</v>
      </c>
      <c r="T158" s="169">
        <f t="shared" si="76"/>
        <v>1.7803800000000001</v>
      </c>
      <c r="U158" s="170">
        <v>0</v>
      </c>
      <c r="V158" s="170">
        <v>0</v>
      </c>
      <c r="W158" s="171">
        <f t="shared" si="91"/>
        <v>0</v>
      </c>
      <c r="X158" s="171">
        <f t="shared" si="92"/>
        <v>0</v>
      </c>
      <c r="Y158" s="171">
        <f t="shared" si="93"/>
        <v>0</v>
      </c>
      <c r="Z158" s="171">
        <f t="shared" si="94"/>
        <v>0</v>
      </c>
      <c r="AA158" s="137"/>
    </row>
    <row r="159" spans="1:27" ht="15.75" outlineLevel="1" x14ac:dyDescent="0.25">
      <c r="A159" s="166" t="s">
        <v>850</v>
      </c>
      <c r="B159" s="167" t="s">
        <v>773</v>
      </c>
      <c r="C159" s="168" t="s">
        <v>172</v>
      </c>
      <c r="D159" s="270">
        <v>0</v>
      </c>
      <c r="E159" s="271"/>
      <c r="F159" s="168"/>
      <c r="G159" s="272"/>
      <c r="H159" s="272"/>
      <c r="I159" s="272"/>
      <c r="J159" s="272"/>
      <c r="K159" s="272"/>
      <c r="L159" s="272"/>
      <c r="M159" s="272"/>
      <c r="N159" s="270">
        <v>1.059E-2</v>
      </c>
      <c r="O159" s="271"/>
      <c r="P159" s="168">
        <v>0</v>
      </c>
      <c r="Q159" s="270">
        <v>0</v>
      </c>
      <c r="R159" s="271"/>
      <c r="S159" s="178">
        <v>0</v>
      </c>
      <c r="T159" s="169">
        <f t="shared" si="76"/>
        <v>1.059E-2</v>
      </c>
      <c r="U159" s="170">
        <v>0</v>
      </c>
      <c r="V159" s="170">
        <v>0</v>
      </c>
      <c r="W159" s="171">
        <f t="shared" si="91"/>
        <v>0</v>
      </c>
      <c r="X159" s="171">
        <f t="shared" si="92"/>
        <v>0</v>
      </c>
      <c r="Y159" s="171">
        <f t="shared" si="93"/>
        <v>0</v>
      </c>
      <c r="Z159" s="171">
        <f t="shared" si="94"/>
        <v>0</v>
      </c>
      <c r="AA159" s="137"/>
    </row>
    <row r="160" spans="1:27" ht="15.75" outlineLevel="1" x14ac:dyDescent="0.25">
      <c r="A160" s="166" t="s">
        <v>851</v>
      </c>
      <c r="B160" s="167" t="s">
        <v>821</v>
      </c>
      <c r="C160" s="168" t="s">
        <v>172</v>
      </c>
      <c r="D160" s="270">
        <v>0</v>
      </c>
      <c r="E160" s="271"/>
      <c r="F160" s="168"/>
      <c r="G160" s="272"/>
      <c r="H160" s="272"/>
      <c r="I160" s="272"/>
      <c r="J160" s="272"/>
      <c r="K160" s="272"/>
      <c r="L160" s="272"/>
      <c r="M160" s="272"/>
      <c r="N160" s="270">
        <v>0</v>
      </c>
      <c r="O160" s="271"/>
      <c r="P160" s="168">
        <v>0</v>
      </c>
      <c r="Q160" s="270">
        <v>3.2410000000000001E-2</v>
      </c>
      <c r="R160" s="271"/>
      <c r="S160" s="178">
        <v>0</v>
      </c>
      <c r="T160" s="169">
        <f t="shared" si="76"/>
        <v>3.2410000000000001E-2</v>
      </c>
      <c r="U160" s="170">
        <v>0</v>
      </c>
      <c r="V160" s="170">
        <v>0</v>
      </c>
      <c r="W160" s="171">
        <f t="shared" si="91"/>
        <v>0</v>
      </c>
      <c r="X160" s="171">
        <f t="shared" si="92"/>
        <v>0</v>
      </c>
      <c r="Y160" s="171">
        <f t="shared" si="93"/>
        <v>0</v>
      </c>
      <c r="Z160" s="171">
        <f t="shared" si="94"/>
        <v>0</v>
      </c>
      <c r="AA160" s="137"/>
    </row>
    <row r="161" spans="1:27" ht="15.75" outlineLevel="1" x14ac:dyDescent="0.25">
      <c r="A161" s="166" t="s">
        <v>852</v>
      </c>
      <c r="B161" s="167" t="s">
        <v>728</v>
      </c>
      <c r="C161" s="168" t="s">
        <v>172</v>
      </c>
      <c r="D161" s="270">
        <v>2.7820000000000001E-2</v>
      </c>
      <c r="E161" s="271"/>
      <c r="F161" s="168"/>
      <c r="G161" s="272"/>
      <c r="H161" s="272"/>
      <c r="I161" s="272"/>
      <c r="J161" s="272"/>
      <c r="K161" s="272"/>
      <c r="L161" s="272"/>
      <c r="M161" s="272"/>
      <c r="N161" s="270">
        <v>0</v>
      </c>
      <c r="O161" s="271"/>
      <c r="P161" s="168">
        <v>9.2999999999999992E-3</v>
      </c>
      <c r="Q161" s="270">
        <f>0.00464</f>
        <v>4.64E-3</v>
      </c>
      <c r="R161" s="271"/>
      <c r="S161" s="178">
        <v>0</v>
      </c>
      <c r="T161" s="169">
        <f t="shared" si="76"/>
        <v>4.1759999999999999E-2</v>
      </c>
      <c r="U161" s="170">
        <v>0</v>
      </c>
      <c r="V161" s="170">
        <v>0</v>
      </c>
      <c r="W161" s="171">
        <f t="shared" si="91"/>
        <v>0</v>
      </c>
      <c r="X161" s="171">
        <f t="shared" si="92"/>
        <v>0</v>
      </c>
      <c r="Y161" s="171">
        <f t="shared" si="93"/>
        <v>0</v>
      </c>
      <c r="Z161" s="171">
        <f t="shared" si="94"/>
        <v>0</v>
      </c>
      <c r="AA161" s="137"/>
    </row>
    <row r="162" spans="1:27" ht="15.75" outlineLevel="1" x14ac:dyDescent="0.25">
      <c r="A162" s="166" t="s">
        <v>853</v>
      </c>
      <c r="B162" s="167" t="s">
        <v>729</v>
      </c>
      <c r="C162" s="168" t="s">
        <v>172</v>
      </c>
      <c r="D162" s="270">
        <v>3.977E-2</v>
      </c>
      <c r="E162" s="271"/>
      <c r="F162" s="168"/>
      <c r="G162" s="272"/>
      <c r="H162" s="272"/>
      <c r="I162" s="272"/>
      <c r="J162" s="272"/>
      <c r="K162" s="272"/>
      <c r="L162" s="272"/>
      <c r="M162" s="272"/>
      <c r="N162" s="270">
        <f>0.00331+0.07953</f>
        <v>8.2839999999999997E-2</v>
      </c>
      <c r="O162" s="271"/>
      <c r="P162" s="168">
        <v>0</v>
      </c>
      <c r="Q162" s="270">
        <f>0.0613</f>
        <v>6.13E-2</v>
      </c>
      <c r="R162" s="271"/>
      <c r="S162" s="178">
        <v>1.8259999999999998E-2</v>
      </c>
      <c r="T162" s="169">
        <f t="shared" si="76"/>
        <v>0.20216999999999999</v>
      </c>
      <c r="U162" s="170">
        <v>0</v>
      </c>
      <c r="V162" s="170">
        <v>0</v>
      </c>
      <c r="W162" s="171">
        <f t="shared" si="91"/>
        <v>0</v>
      </c>
      <c r="X162" s="171">
        <f t="shared" si="92"/>
        <v>0</v>
      </c>
      <c r="Y162" s="171">
        <f t="shared" si="93"/>
        <v>0</v>
      </c>
      <c r="Z162" s="171">
        <f t="shared" si="94"/>
        <v>0</v>
      </c>
      <c r="AA162" s="137"/>
    </row>
    <row r="163" spans="1:27" ht="15.75" outlineLevel="1" x14ac:dyDescent="0.25">
      <c r="A163" s="166" t="s">
        <v>854</v>
      </c>
      <c r="B163" s="167" t="s">
        <v>770</v>
      </c>
      <c r="C163" s="168" t="s">
        <v>172</v>
      </c>
      <c r="D163" s="270">
        <v>0</v>
      </c>
      <c r="E163" s="271"/>
      <c r="F163" s="168"/>
      <c r="G163" s="272"/>
      <c r="H163" s="272"/>
      <c r="I163" s="272"/>
      <c r="J163" s="272"/>
      <c r="K163" s="272"/>
      <c r="L163" s="272"/>
      <c r="M163" s="272"/>
      <c r="N163" s="270">
        <v>1.094E-2</v>
      </c>
      <c r="O163" s="271"/>
      <c r="P163" s="168">
        <v>0</v>
      </c>
      <c r="Q163" s="270">
        <f>0.00365</f>
        <v>3.65E-3</v>
      </c>
      <c r="R163" s="271"/>
      <c r="S163" s="178">
        <v>0</v>
      </c>
      <c r="T163" s="169">
        <f t="shared" si="76"/>
        <v>1.4590000000000001E-2</v>
      </c>
      <c r="U163" s="170">
        <v>0</v>
      </c>
      <c r="V163" s="170">
        <v>0</v>
      </c>
      <c r="W163" s="171">
        <f t="shared" si="91"/>
        <v>0</v>
      </c>
      <c r="X163" s="171">
        <f t="shared" si="92"/>
        <v>0</v>
      </c>
      <c r="Y163" s="171">
        <f t="shared" si="93"/>
        <v>0</v>
      </c>
      <c r="Z163" s="171">
        <f t="shared" si="94"/>
        <v>0</v>
      </c>
      <c r="AA163" s="137"/>
    </row>
    <row r="164" spans="1:27" ht="15.75" outlineLevel="1" x14ac:dyDescent="0.25">
      <c r="A164" s="166" t="s">
        <v>855</v>
      </c>
      <c r="B164" s="167" t="s">
        <v>730</v>
      </c>
      <c r="C164" s="168" t="s">
        <v>172</v>
      </c>
      <c r="D164" s="270">
        <v>0.54310000000000003</v>
      </c>
      <c r="E164" s="271"/>
      <c r="F164" s="168"/>
      <c r="G164" s="272"/>
      <c r="H164" s="272"/>
      <c r="I164" s="272"/>
      <c r="J164" s="272"/>
      <c r="K164" s="272"/>
      <c r="L164" s="272"/>
      <c r="M164" s="272"/>
      <c r="N164" s="270">
        <v>1.1742699999999999</v>
      </c>
      <c r="O164" s="271"/>
      <c r="P164" s="168">
        <v>0.27267000000000002</v>
      </c>
      <c r="Q164" s="270">
        <v>1.16143</v>
      </c>
      <c r="R164" s="271"/>
      <c r="S164" s="178">
        <v>0.49592999999999998</v>
      </c>
      <c r="T164" s="169">
        <f t="shared" si="76"/>
        <v>3.6473999999999998</v>
      </c>
      <c r="U164" s="170">
        <v>0</v>
      </c>
      <c r="V164" s="170">
        <v>0</v>
      </c>
      <c r="W164" s="171">
        <f t="shared" si="91"/>
        <v>0</v>
      </c>
      <c r="X164" s="171">
        <f t="shared" si="92"/>
        <v>0</v>
      </c>
      <c r="Y164" s="171">
        <f t="shared" si="93"/>
        <v>0</v>
      </c>
      <c r="Z164" s="171">
        <f t="shared" si="94"/>
        <v>0</v>
      </c>
      <c r="AA164" s="137"/>
    </row>
    <row r="165" spans="1:27" ht="15.75" outlineLevel="1" x14ac:dyDescent="0.25">
      <c r="A165" s="166" t="s">
        <v>856</v>
      </c>
      <c r="B165" s="167" t="s">
        <v>731</v>
      </c>
      <c r="C165" s="168" t="s">
        <v>172</v>
      </c>
      <c r="D165" s="270">
        <v>3.7599999999999999E-3</v>
      </c>
      <c r="E165" s="271"/>
      <c r="F165" s="168"/>
      <c r="G165" s="272"/>
      <c r="H165" s="272"/>
      <c r="I165" s="272"/>
      <c r="J165" s="272"/>
      <c r="K165" s="272"/>
      <c r="L165" s="272"/>
      <c r="M165" s="272"/>
      <c r="N165" s="270">
        <v>3.007E-2</v>
      </c>
      <c r="O165" s="271"/>
      <c r="P165" s="168">
        <v>0</v>
      </c>
      <c r="Q165" s="270">
        <v>3.3829999999999999E-2</v>
      </c>
      <c r="R165" s="271"/>
      <c r="S165" s="178">
        <v>0</v>
      </c>
      <c r="T165" s="169">
        <f t="shared" si="76"/>
        <v>6.7659999999999998E-2</v>
      </c>
      <c r="U165" s="170">
        <v>0</v>
      </c>
      <c r="V165" s="170">
        <v>0</v>
      </c>
      <c r="W165" s="171">
        <f t="shared" si="91"/>
        <v>0</v>
      </c>
      <c r="X165" s="171">
        <f t="shared" si="92"/>
        <v>0</v>
      </c>
      <c r="Y165" s="171">
        <f t="shared" si="93"/>
        <v>0</v>
      </c>
      <c r="Z165" s="171">
        <f t="shared" si="94"/>
        <v>0</v>
      </c>
      <c r="AA165" s="137"/>
    </row>
    <row r="166" spans="1:27" ht="15.75" outlineLevel="1" x14ac:dyDescent="0.25">
      <c r="A166" s="166" t="s">
        <v>857</v>
      </c>
      <c r="B166" s="167" t="s">
        <v>774</v>
      </c>
      <c r="C166" s="168" t="s">
        <v>172</v>
      </c>
      <c r="D166" s="270">
        <v>0</v>
      </c>
      <c r="E166" s="271"/>
      <c r="F166" s="168"/>
      <c r="G166" s="272"/>
      <c r="H166" s="272"/>
      <c r="I166" s="272"/>
      <c r="J166" s="272"/>
      <c r="K166" s="272"/>
      <c r="L166" s="272"/>
      <c r="M166" s="272"/>
      <c r="N166" s="270">
        <v>2.2339999999999999E-2</v>
      </c>
      <c r="O166" s="271"/>
      <c r="P166" s="168">
        <v>0</v>
      </c>
      <c r="Q166" s="270">
        <v>3.7799999999999999E-3</v>
      </c>
      <c r="R166" s="271"/>
      <c r="S166" s="178">
        <v>0</v>
      </c>
      <c r="T166" s="169">
        <f t="shared" si="76"/>
        <v>2.6119999999999997E-2</v>
      </c>
      <c r="U166" s="170">
        <v>0</v>
      </c>
      <c r="V166" s="170">
        <v>0</v>
      </c>
      <c r="W166" s="171">
        <f t="shared" si="91"/>
        <v>0</v>
      </c>
      <c r="X166" s="171">
        <f t="shared" si="92"/>
        <v>0</v>
      </c>
      <c r="Y166" s="171">
        <f t="shared" si="93"/>
        <v>0</v>
      </c>
      <c r="Z166" s="171">
        <f t="shared" si="94"/>
        <v>0</v>
      </c>
      <c r="AA166" s="137"/>
    </row>
    <row r="167" spans="1:27" ht="15.75" outlineLevel="1" x14ac:dyDescent="0.25">
      <c r="A167" s="166" t="s">
        <v>858</v>
      </c>
      <c r="B167" s="167" t="s">
        <v>771</v>
      </c>
      <c r="C167" s="168" t="s">
        <v>172</v>
      </c>
      <c r="D167" s="270">
        <v>0</v>
      </c>
      <c r="E167" s="271"/>
      <c r="F167" s="168"/>
      <c r="G167" s="272"/>
      <c r="H167" s="272"/>
      <c r="I167" s="272"/>
      <c r="J167" s="272"/>
      <c r="K167" s="272"/>
      <c r="L167" s="272"/>
      <c r="M167" s="272"/>
      <c r="N167" s="270">
        <f>0.02157</f>
        <v>2.1569999999999999E-2</v>
      </c>
      <c r="O167" s="271"/>
      <c r="P167" s="168">
        <v>0</v>
      </c>
      <c r="Q167" s="270">
        <v>0</v>
      </c>
      <c r="R167" s="271"/>
      <c r="S167" s="178">
        <v>4.3200000000000001E-3</v>
      </c>
      <c r="T167" s="169">
        <f t="shared" si="76"/>
        <v>2.589E-2</v>
      </c>
      <c r="U167" s="170">
        <v>0</v>
      </c>
      <c r="V167" s="170">
        <v>0</v>
      </c>
      <c r="W167" s="171">
        <f t="shared" si="91"/>
        <v>0</v>
      </c>
      <c r="X167" s="171">
        <f t="shared" si="92"/>
        <v>0</v>
      </c>
      <c r="Y167" s="171">
        <f t="shared" si="93"/>
        <v>0</v>
      </c>
      <c r="Z167" s="171">
        <f t="shared" si="94"/>
        <v>0</v>
      </c>
      <c r="AA167" s="137"/>
    </row>
    <row r="168" spans="1:27" ht="15.75" outlineLevel="1" x14ac:dyDescent="0.25">
      <c r="A168" s="166" t="s">
        <v>859</v>
      </c>
      <c r="B168" s="167" t="s">
        <v>732</v>
      </c>
      <c r="C168" s="168" t="s">
        <v>172</v>
      </c>
      <c r="D168" s="270">
        <v>2.435E-2</v>
      </c>
      <c r="E168" s="271"/>
      <c r="F168" s="168"/>
      <c r="G168" s="272"/>
      <c r="H168" s="272"/>
      <c r="I168" s="272"/>
      <c r="J168" s="272"/>
      <c r="K168" s="272"/>
      <c r="L168" s="272"/>
      <c r="M168" s="272"/>
      <c r="N168" s="270">
        <v>1.461E-2</v>
      </c>
      <c r="O168" s="271"/>
      <c r="P168" s="168">
        <v>4.8799999999999998E-3</v>
      </c>
      <c r="Q168" s="270">
        <v>4.3839999999999997E-2</v>
      </c>
      <c r="R168" s="271"/>
      <c r="S168" s="178">
        <v>1.9519999999999999E-2</v>
      </c>
      <c r="T168" s="169">
        <f t="shared" si="76"/>
        <v>0.1072</v>
      </c>
      <c r="U168" s="170">
        <v>0</v>
      </c>
      <c r="V168" s="170">
        <v>0</v>
      </c>
      <c r="W168" s="171">
        <f t="shared" si="91"/>
        <v>0</v>
      </c>
      <c r="X168" s="171">
        <f t="shared" si="92"/>
        <v>0</v>
      </c>
      <c r="Y168" s="171">
        <f t="shared" si="93"/>
        <v>0</v>
      </c>
      <c r="Z168" s="171">
        <f t="shared" si="94"/>
        <v>0</v>
      </c>
      <c r="AA168" s="137"/>
    </row>
    <row r="169" spans="1:27" ht="15.75" outlineLevel="1" x14ac:dyDescent="0.25">
      <c r="A169" s="166" t="s">
        <v>860</v>
      </c>
      <c r="B169" s="167" t="s">
        <v>733</v>
      </c>
      <c r="C169" s="168" t="s">
        <v>172</v>
      </c>
      <c r="D169" s="270">
        <v>0.12275999999999999</v>
      </c>
      <c r="E169" s="271"/>
      <c r="F169" s="168"/>
      <c r="G169" s="272"/>
      <c r="H169" s="272"/>
      <c r="I169" s="272"/>
      <c r="J169" s="272"/>
      <c r="K169" s="272"/>
      <c r="L169" s="272"/>
      <c r="M169" s="272"/>
      <c r="N169" s="270">
        <f>0.11743</f>
        <v>0.11743000000000001</v>
      </c>
      <c r="O169" s="271"/>
      <c r="P169" s="168">
        <v>4.539E-2</v>
      </c>
      <c r="Q169" s="270">
        <v>0.12275999999999999</v>
      </c>
      <c r="R169" s="271"/>
      <c r="S169" s="178">
        <f>0.06675+0.00801</f>
        <v>7.4760000000000007E-2</v>
      </c>
      <c r="T169" s="169">
        <f t="shared" si="76"/>
        <v>0.48309999999999997</v>
      </c>
      <c r="U169" s="170">
        <v>0</v>
      </c>
      <c r="V169" s="170">
        <v>0</v>
      </c>
      <c r="W169" s="171">
        <f t="shared" si="91"/>
        <v>0</v>
      </c>
      <c r="X169" s="171">
        <f t="shared" si="92"/>
        <v>0</v>
      </c>
      <c r="Y169" s="171">
        <f t="shared" si="93"/>
        <v>0</v>
      </c>
      <c r="Z169" s="171">
        <f t="shared" si="94"/>
        <v>0</v>
      </c>
      <c r="AA169" s="137"/>
    </row>
    <row r="170" spans="1:27" ht="15.75" outlineLevel="1" x14ac:dyDescent="0.25">
      <c r="A170" s="166" t="s">
        <v>861</v>
      </c>
      <c r="B170" s="167" t="s">
        <v>775</v>
      </c>
      <c r="C170" s="168" t="s">
        <v>172</v>
      </c>
      <c r="D170" s="270">
        <v>0</v>
      </c>
      <c r="E170" s="271"/>
      <c r="F170" s="168"/>
      <c r="G170" s="272"/>
      <c r="H170" s="272"/>
      <c r="I170" s="272"/>
      <c r="J170" s="272"/>
      <c r="K170" s="272"/>
      <c r="L170" s="272"/>
      <c r="M170" s="272"/>
      <c r="N170" s="270">
        <v>3.0300000000000001E-3</v>
      </c>
      <c r="O170" s="271"/>
      <c r="P170" s="168">
        <v>0</v>
      </c>
      <c r="Q170" s="270">
        <v>0</v>
      </c>
      <c r="R170" s="271"/>
      <c r="S170" s="178">
        <v>0</v>
      </c>
      <c r="T170" s="169">
        <f t="shared" si="76"/>
        <v>3.0300000000000001E-3</v>
      </c>
      <c r="U170" s="170">
        <v>0</v>
      </c>
      <c r="V170" s="170">
        <v>0</v>
      </c>
      <c r="W170" s="171">
        <f t="shared" si="91"/>
        <v>0</v>
      </c>
      <c r="X170" s="171">
        <f t="shared" si="92"/>
        <v>0</v>
      </c>
      <c r="Y170" s="171">
        <f t="shared" si="93"/>
        <v>0</v>
      </c>
      <c r="Z170" s="171">
        <f t="shared" si="94"/>
        <v>0</v>
      </c>
      <c r="AA170" s="137"/>
    </row>
    <row r="171" spans="1:27" ht="15.75" outlineLevel="1" x14ac:dyDescent="0.25">
      <c r="A171" s="166" t="s">
        <v>862</v>
      </c>
      <c r="B171" s="167" t="s">
        <v>776</v>
      </c>
      <c r="C171" s="168" t="s">
        <v>172</v>
      </c>
      <c r="D171" s="270">
        <v>0</v>
      </c>
      <c r="E171" s="271"/>
      <c r="F171" s="168"/>
      <c r="G171" s="272"/>
      <c r="H171" s="272"/>
      <c r="I171" s="272"/>
      <c r="J171" s="272"/>
      <c r="K171" s="272"/>
      <c r="L171" s="272"/>
      <c r="M171" s="272"/>
      <c r="N171" s="270">
        <v>5.8900000000000003E-3</v>
      </c>
      <c r="O171" s="271"/>
      <c r="P171" s="168">
        <v>0</v>
      </c>
      <c r="Q171" s="270">
        <v>0</v>
      </c>
      <c r="R171" s="271"/>
      <c r="S171" s="178">
        <v>0</v>
      </c>
      <c r="T171" s="169">
        <f t="shared" si="76"/>
        <v>5.8900000000000003E-3</v>
      </c>
      <c r="U171" s="170">
        <v>0</v>
      </c>
      <c r="V171" s="170">
        <v>0</v>
      </c>
      <c r="W171" s="171">
        <f t="shared" si="91"/>
        <v>0</v>
      </c>
      <c r="X171" s="171">
        <f t="shared" si="92"/>
        <v>0</v>
      </c>
      <c r="Y171" s="171">
        <f t="shared" si="93"/>
        <v>0</v>
      </c>
      <c r="Z171" s="171">
        <f t="shared" si="94"/>
        <v>0</v>
      </c>
      <c r="AA171" s="137"/>
    </row>
    <row r="172" spans="1:27" ht="15.75" outlineLevel="1" x14ac:dyDescent="0.25">
      <c r="A172" s="166" t="s">
        <v>863</v>
      </c>
      <c r="B172" s="167" t="s">
        <v>777</v>
      </c>
      <c r="C172" s="168" t="s">
        <v>172</v>
      </c>
      <c r="D172" s="270">
        <v>0</v>
      </c>
      <c r="E172" s="271"/>
      <c r="F172" s="168"/>
      <c r="G172" s="272"/>
      <c r="H172" s="272"/>
      <c r="I172" s="272"/>
      <c r="J172" s="272"/>
      <c r="K172" s="272"/>
      <c r="L172" s="272"/>
      <c r="M172" s="272"/>
      <c r="N172" s="270">
        <f>0.01222+0.00306</f>
        <v>1.528E-2</v>
      </c>
      <c r="O172" s="271"/>
      <c r="P172" s="168">
        <v>0</v>
      </c>
      <c r="Q172" s="270">
        <v>0</v>
      </c>
      <c r="R172" s="271"/>
      <c r="S172" s="178">
        <v>9.1800000000000007E-3</v>
      </c>
      <c r="T172" s="169">
        <f t="shared" si="76"/>
        <v>2.4460000000000003E-2</v>
      </c>
      <c r="U172" s="170">
        <v>0</v>
      </c>
      <c r="V172" s="170">
        <v>0</v>
      </c>
      <c r="W172" s="171">
        <f t="shared" si="91"/>
        <v>0</v>
      </c>
      <c r="X172" s="171">
        <f t="shared" si="92"/>
        <v>0</v>
      </c>
      <c r="Y172" s="171">
        <f t="shared" si="93"/>
        <v>0</v>
      </c>
      <c r="Z172" s="171">
        <f t="shared" si="94"/>
        <v>0</v>
      </c>
      <c r="AA172" s="137"/>
    </row>
    <row r="173" spans="1:27" ht="15.75" outlineLevel="1" x14ac:dyDescent="0.25">
      <c r="A173" s="166" t="s">
        <v>864</v>
      </c>
      <c r="B173" s="167" t="s">
        <v>778</v>
      </c>
      <c r="C173" s="168" t="s">
        <v>172</v>
      </c>
      <c r="D173" s="270">
        <v>0</v>
      </c>
      <c r="E173" s="271"/>
      <c r="F173" s="168"/>
      <c r="G173" s="272"/>
      <c r="H173" s="272"/>
      <c r="I173" s="272"/>
      <c r="J173" s="272"/>
      <c r="K173" s="272"/>
      <c r="L173" s="272"/>
      <c r="M173" s="272"/>
      <c r="N173" s="270">
        <v>1.489E-2</v>
      </c>
      <c r="O173" s="271"/>
      <c r="P173" s="168">
        <v>0</v>
      </c>
      <c r="Q173" s="270">
        <v>0</v>
      </c>
      <c r="R173" s="271"/>
      <c r="S173" s="178">
        <v>0</v>
      </c>
      <c r="T173" s="169">
        <f t="shared" si="76"/>
        <v>1.489E-2</v>
      </c>
      <c r="U173" s="170">
        <v>0</v>
      </c>
      <c r="V173" s="170">
        <v>0</v>
      </c>
      <c r="W173" s="171">
        <f t="shared" si="91"/>
        <v>0</v>
      </c>
      <c r="X173" s="171">
        <f t="shared" si="92"/>
        <v>0</v>
      </c>
      <c r="Y173" s="171">
        <f t="shared" si="93"/>
        <v>0</v>
      </c>
      <c r="Z173" s="171">
        <f t="shared" si="94"/>
        <v>0</v>
      </c>
      <c r="AA173" s="137"/>
    </row>
    <row r="174" spans="1:27" ht="31.5" outlineLevel="1" x14ac:dyDescent="0.25">
      <c r="A174" s="166" t="s">
        <v>865</v>
      </c>
      <c r="B174" s="167" t="s">
        <v>715</v>
      </c>
      <c r="C174" s="168" t="s">
        <v>98</v>
      </c>
      <c r="D174" s="270">
        <f>1440+4</f>
        <v>1444</v>
      </c>
      <c r="E174" s="271"/>
      <c r="F174" s="168"/>
      <c r="G174" s="272">
        <f>4*G142</f>
        <v>864</v>
      </c>
      <c r="H174" s="272"/>
      <c r="I174" s="272">
        <f>4*I142</f>
        <v>96</v>
      </c>
      <c r="J174" s="272"/>
      <c r="K174" s="272"/>
      <c r="L174" s="272">
        <f>4*L142</f>
        <v>1104</v>
      </c>
      <c r="M174" s="272"/>
      <c r="N174" s="270">
        <f>2872+4</f>
        <v>2876</v>
      </c>
      <c r="O174" s="271"/>
      <c r="P174" s="168">
        <v>664</v>
      </c>
      <c r="Q174" s="270">
        <v>2796</v>
      </c>
      <c r="R174" s="271"/>
      <c r="S174" s="178">
        <f>1185+4</f>
        <v>1189</v>
      </c>
      <c r="T174" s="169">
        <f t="shared" si="76"/>
        <v>11033</v>
      </c>
      <c r="U174" s="170">
        <v>0</v>
      </c>
      <c r="V174" s="170">
        <v>0</v>
      </c>
      <c r="W174" s="171">
        <f t="shared" si="91"/>
        <v>0</v>
      </c>
      <c r="X174" s="171">
        <f t="shared" si="92"/>
        <v>0</v>
      </c>
      <c r="Y174" s="171">
        <f t="shared" si="93"/>
        <v>0</v>
      </c>
      <c r="Z174" s="171">
        <f t="shared" si="94"/>
        <v>0</v>
      </c>
      <c r="AA174" s="137"/>
    </row>
    <row r="175" spans="1:27" ht="15.75" outlineLevel="1" x14ac:dyDescent="0.25">
      <c r="A175" s="166" t="s">
        <v>866</v>
      </c>
      <c r="B175" s="167" t="s">
        <v>780</v>
      </c>
      <c r="C175" s="168" t="s">
        <v>172</v>
      </c>
      <c r="D175" s="270">
        <v>0</v>
      </c>
      <c r="E175" s="271"/>
      <c r="F175" s="168"/>
      <c r="G175" s="272"/>
      <c r="H175" s="272"/>
      <c r="I175" s="272">
        <f>0.72*I142</f>
        <v>17.28</v>
      </c>
      <c r="J175" s="272"/>
      <c r="K175" s="272"/>
      <c r="L175" s="272">
        <f>0.72*I142</f>
        <v>17.28</v>
      </c>
      <c r="M175" s="272"/>
      <c r="N175" s="270">
        <v>7.2000000000000005E-4</v>
      </c>
      <c r="O175" s="271"/>
      <c r="P175" s="168">
        <v>0</v>
      </c>
      <c r="Q175" s="270">
        <v>0</v>
      </c>
      <c r="R175" s="271"/>
      <c r="S175" s="168">
        <v>7.2000000000000005E-4</v>
      </c>
      <c r="T175" s="169">
        <f t="shared" si="76"/>
        <v>34.561440000000005</v>
      </c>
      <c r="U175" s="170">
        <v>0</v>
      </c>
      <c r="V175" s="170">
        <v>0</v>
      </c>
      <c r="W175" s="171">
        <f t="shared" si="91"/>
        <v>0</v>
      </c>
      <c r="X175" s="171">
        <f t="shared" si="92"/>
        <v>0</v>
      </c>
      <c r="Y175" s="171">
        <f t="shared" si="93"/>
        <v>0</v>
      </c>
      <c r="Z175" s="171">
        <f t="shared" si="94"/>
        <v>0</v>
      </c>
      <c r="AA175" s="137"/>
    </row>
    <row r="176" spans="1:27" ht="31.5" x14ac:dyDescent="0.25">
      <c r="A176" s="160" t="s">
        <v>183</v>
      </c>
      <c r="B176" s="161" t="s">
        <v>184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73"/>
      <c r="V176" s="173"/>
      <c r="W176" s="173"/>
      <c r="X176" s="205">
        <f>SUBTOTAL(9,X177:X197)</f>
        <v>0</v>
      </c>
      <c r="Y176" s="205">
        <f t="shared" ref="Y176:Z176" si="95">SUBTOTAL(9,Y177:Y197)</f>
        <v>0</v>
      </c>
      <c r="Z176" s="205">
        <f t="shared" si="95"/>
        <v>0</v>
      </c>
      <c r="AA176" s="136"/>
    </row>
    <row r="177" spans="1:27" ht="31.5" outlineLevel="1" x14ac:dyDescent="0.25">
      <c r="A177" s="166" t="s">
        <v>185</v>
      </c>
      <c r="B177" s="167" t="s">
        <v>186</v>
      </c>
      <c r="C177" s="168" t="s">
        <v>102</v>
      </c>
      <c r="D177" s="168">
        <v>59.97</v>
      </c>
      <c r="E177" s="168">
        <v>83.47</v>
      </c>
      <c r="F177" s="168">
        <v>75.12</v>
      </c>
      <c r="G177" s="168">
        <v>104.05</v>
      </c>
      <c r="H177" s="168">
        <v>69.349999999999994</v>
      </c>
      <c r="I177" s="168">
        <v>114.89</v>
      </c>
      <c r="J177" s="168">
        <v>70.52</v>
      </c>
      <c r="K177" s="168">
        <v>114.89</v>
      </c>
      <c r="L177" s="168">
        <v>69.17</v>
      </c>
      <c r="M177" s="168">
        <v>91.68</v>
      </c>
      <c r="N177" s="168">
        <v>65.92</v>
      </c>
      <c r="O177" s="168">
        <v>109.37</v>
      </c>
      <c r="P177" s="168">
        <v>69.290000000000006</v>
      </c>
      <c r="Q177" s="168">
        <v>83.27</v>
      </c>
      <c r="R177" s="168">
        <v>98.37</v>
      </c>
      <c r="S177" s="168">
        <v>83.37</v>
      </c>
      <c r="T177" s="169">
        <f t="shared" si="76"/>
        <v>1362.6999999999998</v>
      </c>
      <c r="U177" s="170">
        <v>0</v>
      </c>
      <c r="V177" s="170">
        <v>0</v>
      </c>
      <c r="W177" s="171">
        <f t="shared" ref="W177" si="96">V177+U177</f>
        <v>0</v>
      </c>
      <c r="X177" s="171">
        <f t="shared" ref="X177" si="97">$T177*U177</f>
        <v>0</v>
      </c>
      <c r="Y177" s="171">
        <f t="shared" ref="Y177" si="98">$T177*V177</f>
        <v>0</v>
      </c>
      <c r="Z177" s="171">
        <f t="shared" ref="Z177" si="99">Y177+X177</f>
        <v>0</v>
      </c>
      <c r="AA177" s="137"/>
    </row>
    <row r="178" spans="1:27" ht="31.5" outlineLevel="1" x14ac:dyDescent="0.25">
      <c r="A178" s="166" t="s">
        <v>187</v>
      </c>
      <c r="B178" s="167" t="s">
        <v>188</v>
      </c>
      <c r="C178" s="168" t="s">
        <v>102</v>
      </c>
      <c r="D178" s="168">
        <v>108.21</v>
      </c>
      <c r="E178" s="168">
        <v>132.19999999999999</v>
      </c>
      <c r="F178" s="168">
        <v>118.78</v>
      </c>
      <c r="G178" s="168">
        <v>151.07</v>
      </c>
      <c r="H178" s="168">
        <v>116.02</v>
      </c>
      <c r="I178" s="168">
        <v>144.5</v>
      </c>
      <c r="J178" s="168">
        <v>115.67</v>
      </c>
      <c r="K178" s="168">
        <v>144.5</v>
      </c>
      <c r="L178" s="168"/>
      <c r="M178" s="168">
        <v>168.67</v>
      </c>
      <c r="N178" s="168">
        <v>131.79</v>
      </c>
      <c r="O178" s="168">
        <v>148.75</v>
      </c>
      <c r="P178" s="168">
        <v>113.92</v>
      </c>
      <c r="Q178" s="168">
        <v>91.31</v>
      </c>
      <c r="R178" s="168">
        <v>128.09</v>
      </c>
      <c r="S178" s="168">
        <v>147.76</v>
      </c>
      <c r="T178" s="169">
        <f t="shared" si="76"/>
        <v>1961.2399999999998</v>
      </c>
      <c r="U178" s="170">
        <v>0</v>
      </c>
      <c r="V178" s="170">
        <v>0</v>
      </c>
      <c r="W178" s="171">
        <f t="shared" ref="W178:W197" si="100">V178+U178</f>
        <v>0</v>
      </c>
      <c r="X178" s="171">
        <f t="shared" ref="X178:X197" si="101">$T178*U178</f>
        <v>0</v>
      </c>
      <c r="Y178" s="171">
        <f t="shared" ref="Y178:Y197" si="102">$T178*V178</f>
        <v>0</v>
      </c>
      <c r="Z178" s="171">
        <f t="shared" ref="Z178:Z197" si="103">Y178+X178</f>
        <v>0</v>
      </c>
      <c r="AA178" s="137"/>
    </row>
    <row r="179" spans="1:27" ht="31.5" outlineLevel="1" x14ac:dyDescent="0.25">
      <c r="A179" s="166" t="s">
        <v>189</v>
      </c>
      <c r="B179" s="167" t="s">
        <v>832</v>
      </c>
      <c r="C179" s="168" t="s">
        <v>102</v>
      </c>
      <c r="D179" s="168">
        <v>0</v>
      </c>
      <c r="E179" s="168">
        <v>0</v>
      </c>
      <c r="F179" s="168">
        <v>19.3</v>
      </c>
      <c r="G179" s="168"/>
      <c r="H179" s="168">
        <v>13.13</v>
      </c>
      <c r="I179" s="168"/>
      <c r="J179" s="168"/>
      <c r="K179" s="168"/>
      <c r="L179" s="168"/>
      <c r="M179" s="168"/>
      <c r="N179" s="168">
        <v>0</v>
      </c>
      <c r="O179" s="168">
        <v>0</v>
      </c>
      <c r="P179" s="168">
        <v>0</v>
      </c>
      <c r="Q179" s="168">
        <v>0</v>
      </c>
      <c r="R179" s="168">
        <v>0</v>
      </c>
      <c r="S179" s="168">
        <v>1.25</v>
      </c>
      <c r="T179" s="169">
        <f t="shared" si="76"/>
        <v>33.68</v>
      </c>
      <c r="U179" s="170">
        <v>0</v>
      </c>
      <c r="V179" s="170">
        <v>0</v>
      </c>
      <c r="W179" s="171">
        <f t="shared" si="100"/>
        <v>0</v>
      </c>
      <c r="X179" s="171">
        <f t="shared" si="101"/>
        <v>0</v>
      </c>
      <c r="Y179" s="171">
        <f t="shared" si="102"/>
        <v>0</v>
      </c>
      <c r="Z179" s="171">
        <f t="shared" si="103"/>
        <v>0</v>
      </c>
      <c r="AA179" s="137"/>
    </row>
    <row r="180" spans="1:27" ht="31.5" outlineLevel="1" x14ac:dyDescent="0.25">
      <c r="A180" s="166" t="s">
        <v>191</v>
      </c>
      <c r="B180" s="167" t="s">
        <v>190</v>
      </c>
      <c r="C180" s="168" t="s">
        <v>102</v>
      </c>
      <c r="D180" s="168">
        <v>0</v>
      </c>
      <c r="E180" s="168">
        <v>13.2</v>
      </c>
      <c r="F180" s="168"/>
      <c r="G180" s="168">
        <v>3.64</v>
      </c>
      <c r="H180" s="168">
        <v>1.82</v>
      </c>
      <c r="I180" s="168">
        <v>2.0299999999999998</v>
      </c>
      <c r="J180" s="168">
        <v>4.13</v>
      </c>
      <c r="K180" s="168">
        <v>2.0299999999999998</v>
      </c>
      <c r="L180" s="168"/>
      <c r="M180" s="168">
        <v>2</v>
      </c>
      <c r="N180" s="168">
        <v>0</v>
      </c>
      <c r="O180" s="168">
        <v>0</v>
      </c>
      <c r="P180" s="168">
        <v>20.170000000000002</v>
      </c>
      <c r="Q180" s="168">
        <v>0</v>
      </c>
      <c r="R180" s="168">
        <v>0</v>
      </c>
      <c r="S180" s="168">
        <v>0</v>
      </c>
      <c r="T180" s="169">
        <f t="shared" si="76"/>
        <v>49.02</v>
      </c>
      <c r="U180" s="170">
        <v>0</v>
      </c>
      <c r="V180" s="170">
        <v>0</v>
      </c>
      <c r="W180" s="171">
        <f t="shared" si="100"/>
        <v>0</v>
      </c>
      <c r="X180" s="171">
        <f t="shared" si="101"/>
        <v>0</v>
      </c>
      <c r="Y180" s="171">
        <f t="shared" si="102"/>
        <v>0</v>
      </c>
      <c r="Z180" s="171">
        <f t="shared" si="103"/>
        <v>0</v>
      </c>
      <c r="AA180" s="137"/>
    </row>
    <row r="181" spans="1:27" ht="31.5" outlineLevel="1" x14ac:dyDescent="0.25">
      <c r="A181" s="166" t="s">
        <v>193</v>
      </c>
      <c r="B181" s="167" t="s">
        <v>192</v>
      </c>
      <c r="C181" s="168" t="s">
        <v>102</v>
      </c>
      <c r="D181" s="168">
        <v>4.0199999999999996</v>
      </c>
      <c r="E181" s="168">
        <v>0</v>
      </c>
      <c r="F181" s="168">
        <v>20.12</v>
      </c>
      <c r="G181" s="168"/>
      <c r="H181" s="168">
        <v>11.44</v>
      </c>
      <c r="I181" s="168"/>
      <c r="J181" s="168"/>
      <c r="K181" s="168"/>
      <c r="L181" s="168"/>
      <c r="M181" s="168"/>
      <c r="N181" s="168">
        <v>0</v>
      </c>
      <c r="O181" s="168">
        <v>0</v>
      </c>
      <c r="P181" s="168">
        <v>0</v>
      </c>
      <c r="Q181" s="168">
        <v>0</v>
      </c>
      <c r="R181" s="168">
        <v>1.92</v>
      </c>
      <c r="S181" s="168">
        <v>1.84</v>
      </c>
      <c r="T181" s="169">
        <f t="shared" si="76"/>
        <v>39.340000000000003</v>
      </c>
      <c r="U181" s="170">
        <v>0</v>
      </c>
      <c r="V181" s="170">
        <v>0</v>
      </c>
      <c r="W181" s="171">
        <f t="shared" si="100"/>
        <v>0</v>
      </c>
      <c r="X181" s="171">
        <f t="shared" si="101"/>
        <v>0</v>
      </c>
      <c r="Y181" s="171">
        <f t="shared" si="102"/>
        <v>0</v>
      </c>
      <c r="Z181" s="171">
        <f t="shared" si="103"/>
        <v>0</v>
      </c>
      <c r="AA181" s="137"/>
    </row>
    <row r="182" spans="1:27" ht="31.5" outlineLevel="1" x14ac:dyDescent="0.25">
      <c r="A182" s="166" t="s">
        <v>195</v>
      </c>
      <c r="B182" s="167" t="s">
        <v>194</v>
      </c>
      <c r="C182" s="168" t="s">
        <v>102</v>
      </c>
      <c r="D182" s="168">
        <v>0</v>
      </c>
      <c r="E182" s="168">
        <v>15.39</v>
      </c>
      <c r="F182" s="168"/>
      <c r="G182" s="168"/>
      <c r="H182" s="168"/>
      <c r="I182" s="168"/>
      <c r="J182" s="168">
        <v>7.17</v>
      </c>
      <c r="K182" s="168"/>
      <c r="L182" s="168"/>
      <c r="M182" s="168"/>
      <c r="N182" s="168">
        <v>0</v>
      </c>
      <c r="O182" s="168">
        <v>0</v>
      </c>
      <c r="P182" s="168">
        <v>22.68</v>
      </c>
      <c r="Q182" s="168">
        <v>0</v>
      </c>
      <c r="R182" s="168">
        <v>0</v>
      </c>
      <c r="S182" s="168">
        <v>0</v>
      </c>
      <c r="T182" s="169">
        <f t="shared" si="76"/>
        <v>45.24</v>
      </c>
      <c r="U182" s="170">
        <v>0</v>
      </c>
      <c r="V182" s="170">
        <v>0</v>
      </c>
      <c r="W182" s="171">
        <f t="shared" si="100"/>
        <v>0</v>
      </c>
      <c r="X182" s="171">
        <f t="shared" si="101"/>
        <v>0</v>
      </c>
      <c r="Y182" s="171">
        <f t="shared" si="102"/>
        <v>0</v>
      </c>
      <c r="Z182" s="171">
        <f t="shared" si="103"/>
        <v>0</v>
      </c>
      <c r="AA182" s="137"/>
    </row>
    <row r="183" spans="1:27" ht="31.5" outlineLevel="1" x14ac:dyDescent="0.25">
      <c r="A183" s="166" t="s">
        <v>197</v>
      </c>
      <c r="B183" s="167" t="s">
        <v>196</v>
      </c>
      <c r="C183" s="168" t="s">
        <v>102</v>
      </c>
      <c r="D183" s="168">
        <v>0</v>
      </c>
      <c r="E183" s="168">
        <v>0</v>
      </c>
      <c r="F183" s="168"/>
      <c r="G183" s="168"/>
      <c r="H183" s="168"/>
      <c r="I183" s="168"/>
      <c r="J183" s="168"/>
      <c r="K183" s="168"/>
      <c r="L183" s="168"/>
      <c r="M183" s="168">
        <v>11.23</v>
      </c>
      <c r="N183" s="168">
        <v>0</v>
      </c>
      <c r="O183" s="168">
        <v>0</v>
      </c>
      <c r="P183" s="168">
        <v>0</v>
      </c>
      <c r="Q183" s="168">
        <v>0</v>
      </c>
      <c r="R183" s="168">
        <v>0</v>
      </c>
      <c r="S183" s="168">
        <v>0</v>
      </c>
      <c r="T183" s="169">
        <f t="shared" si="76"/>
        <v>11.23</v>
      </c>
      <c r="U183" s="170">
        <v>0</v>
      </c>
      <c r="V183" s="170">
        <v>0</v>
      </c>
      <c r="W183" s="171">
        <f t="shared" si="100"/>
        <v>0</v>
      </c>
      <c r="X183" s="171">
        <f t="shared" si="101"/>
        <v>0</v>
      </c>
      <c r="Y183" s="171">
        <f t="shared" si="102"/>
        <v>0</v>
      </c>
      <c r="Z183" s="171">
        <f t="shared" si="103"/>
        <v>0</v>
      </c>
      <c r="AA183" s="137"/>
    </row>
    <row r="184" spans="1:27" ht="31.5" outlineLevel="1" x14ac:dyDescent="0.25">
      <c r="A184" s="166" t="s">
        <v>199</v>
      </c>
      <c r="B184" s="167" t="s">
        <v>198</v>
      </c>
      <c r="C184" s="168" t="s">
        <v>102</v>
      </c>
      <c r="D184" s="168">
        <v>0</v>
      </c>
      <c r="E184" s="168">
        <v>0</v>
      </c>
      <c r="F184" s="168">
        <v>3.66</v>
      </c>
      <c r="G184" s="168"/>
      <c r="H184" s="168">
        <v>1.8</v>
      </c>
      <c r="I184" s="168"/>
      <c r="J184" s="168"/>
      <c r="K184" s="168"/>
      <c r="L184" s="168"/>
      <c r="M184" s="168"/>
      <c r="N184" s="168">
        <v>0</v>
      </c>
      <c r="O184" s="168">
        <v>9.98</v>
      </c>
      <c r="P184" s="168">
        <v>0</v>
      </c>
      <c r="Q184" s="168">
        <v>10.08</v>
      </c>
      <c r="R184" s="168">
        <v>0</v>
      </c>
      <c r="S184" s="168">
        <v>0</v>
      </c>
      <c r="T184" s="169">
        <f t="shared" si="76"/>
        <v>25.520000000000003</v>
      </c>
      <c r="U184" s="170">
        <v>0</v>
      </c>
      <c r="V184" s="170">
        <v>0</v>
      </c>
      <c r="W184" s="171">
        <f t="shared" si="100"/>
        <v>0</v>
      </c>
      <c r="X184" s="171">
        <f t="shared" si="101"/>
        <v>0</v>
      </c>
      <c r="Y184" s="171">
        <f t="shared" si="102"/>
        <v>0</v>
      </c>
      <c r="Z184" s="171">
        <f t="shared" si="103"/>
        <v>0</v>
      </c>
      <c r="AA184" s="137"/>
    </row>
    <row r="185" spans="1:27" ht="31.5" outlineLevel="1" x14ac:dyDescent="0.25">
      <c r="A185" s="166" t="s">
        <v>201</v>
      </c>
      <c r="B185" s="167" t="s">
        <v>200</v>
      </c>
      <c r="C185" s="168" t="s">
        <v>102</v>
      </c>
      <c r="D185" s="168">
        <v>0</v>
      </c>
      <c r="E185" s="168">
        <v>0</v>
      </c>
      <c r="F185" s="168"/>
      <c r="G185" s="168"/>
      <c r="H185" s="168"/>
      <c r="I185" s="168">
        <v>7</v>
      </c>
      <c r="J185" s="168"/>
      <c r="K185" s="168">
        <v>7</v>
      </c>
      <c r="L185" s="168"/>
      <c r="M185" s="168">
        <v>11.06</v>
      </c>
      <c r="N185" s="168">
        <v>0</v>
      </c>
      <c r="O185" s="168">
        <v>0</v>
      </c>
      <c r="P185" s="168">
        <v>0</v>
      </c>
      <c r="Q185" s="168">
        <v>0</v>
      </c>
      <c r="R185" s="168">
        <v>0</v>
      </c>
      <c r="S185" s="168">
        <v>0</v>
      </c>
      <c r="T185" s="169">
        <f t="shared" si="76"/>
        <v>25.060000000000002</v>
      </c>
      <c r="U185" s="170">
        <v>0</v>
      </c>
      <c r="V185" s="170">
        <v>0</v>
      </c>
      <c r="W185" s="171">
        <f t="shared" si="100"/>
        <v>0</v>
      </c>
      <c r="X185" s="171">
        <f t="shared" si="101"/>
        <v>0</v>
      </c>
      <c r="Y185" s="171">
        <f t="shared" si="102"/>
        <v>0</v>
      </c>
      <c r="Z185" s="171">
        <f t="shared" si="103"/>
        <v>0</v>
      </c>
      <c r="AA185" s="137"/>
    </row>
    <row r="186" spans="1:27" ht="31.5" outlineLevel="1" x14ac:dyDescent="0.25">
      <c r="A186" s="166" t="s">
        <v>203</v>
      </c>
      <c r="B186" s="167" t="s">
        <v>202</v>
      </c>
      <c r="C186" s="168" t="s">
        <v>102</v>
      </c>
      <c r="D186" s="168">
        <v>0</v>
      </c>
      <c r="E186" s="168">
        <v>0</v>
      </c>
      <c r="F186" s="168">
        <v>18.899999999999999</v>
      </c>
      <c r="G186" s="168">
        <v>32.22</v>
      </c>
      <c r="H186" s="168">
        <v>13.14</v>
      </c>
      <c r="I186" s="168"/>
      <c r="J186" s="168">
        <v>13.14</v>
      </c>
      <c r="K186" s="168">
        <v>5.37</v>
      </c>
      <c r="L186" s="168">
        <v>93.84</v>
      </c>
      <c r="M186" s="168">
        <v>65.7</v>
      </c>
      <c r="N186" s="168">
        <v>0</v>
      </c>
      <c r="O186" s="168">
        <v>11.46</v>
      </c>
      <c r="P186" s="168">
        <v>0</v>
      </c>
      <c r="Q186" s="168">
        <v>0</v>
      </c>
      <c r="R186" s="168">
        <v>11.94</v>
      </c>
      <c r="S186" s="168">
        <v>0</v>
      </c>
      <c r="T186" s="169">
        <f t="shared" si="76"/>
        <v>265.71000000000004</v>
      </c>
      <c r="U186" s="170">
        <v>0</v>
      </c>
      <c r="V186" s="170">
        <v>0</v>
      </c>
      <c r="W186" s="171">
        <f t="shared" si="100"/>
        <v>0</v>
      </c>
      <c r="X186" s="171">
        <f t="shared" si="101"/>
        <v>0</v>
      </c>
      <c r="Y186" s="171">
        <f t="shared" si="102"/>
        <v>0</v>
      </c>
      <c r="Z186" s="171">
        <f t="shared" si="103"/>
        <v>0</v>
      </c>
      <c r="AA186" s="137"/>
    </row>
    <row r="187" spans="1:27" ht="31.5" outlineLevel="1" x14ac:dyDescent="0.25">
      <c r="A187" s="166" t="s">
        <v>205</v>
      </c>
      <c r="B187" s="167" t="s">
        <v>677</v>
      </c>
      <c r="C187" s="168" t="s">
        <v>102</v>
      </c>
      <c r="D187" s="168">
        <v>22.81</v>
      </c>
      <c r="E187" s="168">
        <v>33.909999999999997</v>
      </c>
      <c r="F187" s="168">
        <v>27.27</v>
      </c>
      <c r="G187" s="168"/>
      <c r="H187" s="168">
        <v>36.86</v>
      </c>
      <c r="I187" s="168"/>
      <c r="J187" s="168"/>
      <c r="K187" s="168"/>
      <c r="L187" s="168">
        <v>108.73</v>
      </c>
      <c r="M187" s="168">
        <v>56.26</v>
      </c>
      <c r="N187" s="168">
        <v>102.62</v>
      </c>
      <c r="O187" s="168">
        <v>28.47</v>
      </c>
      <c r="P187" s="168">
        <v>24.82</v>
      </c>
      <c r="Q187" s="168">
        <v>32.85</v>
      </c>
      <c r="R187" s="168">
        <v>54.75</v>
      </c>
      <c r="S187" s="168">
        <v>111.69</v>
      </c>
      <c r="T187" s="169">
        <f t="shared" si="76"/>
        <v>641.04</v>
      </c>
      <c r="U187" s="170">
        <v>0</v>
      </c>
      <c r="V187" s="170">
        <v>0</v>
      </c>
      <c r="W187" s="171">
        <f t="shared" si="100"/>
        <v>0</v>
      </c>
      <c r="X187" s="171">
        <f t="shared" si="101"/>
        <v>0</v>
      </c>
      <c r="Y187" s="171">
        <f t="shared" si="102"/>
        <v>0</v>
      </c>
      <c r="Z187" s="171">
        <f t="shared" si="103"/>
        <v>0</v>
      </c>
      <c r="AA187" s="137"/>
    </row>
    <row r="188" spans="1:27" ht="31.5" outlineLevel="1" x14ac:dyDescent="0.25">
      <c r="A188" s="166" t="s">
        <v>207</v>
      </c>
      <c r="B188" s="167" t="s">
        <v>206</v>
      </c>
      <c r="C188" s="168" t="s">
        <v>102</v>
      </c>
      <c r="D188" s="168">
        <v>9.81</v>
      </c>
      <c r="E188" s="168">
        <v>0</v>
      </c>
      <c r="F188" s="168"/>
      <c r="G188" s="168"/>
      <c r="H188" s="168"/>
      <c r="I188" s="168"/>
      <c r="J188" s="168">
        <v>2.27</v>
      </c>
      <c r="K188" s="168"/>
      <c r="L188" s="168">
        <v>2.27</v>
      </c>
      <c r="M188" s="168">
        <v>2.27</v>
      </c>
      <c r="N188" s="168">
        <v>136.54</v>
      </c>
      <c r="O188" s="168">
        <v>34.92</v>
      </c>
      <c r="P188" s="168">
        <v>32.65</v>
      </c>
      <c r="Q188" s="168">
        <v>31.04</v>
      </c>
      <c r="R188" s="168">
        <v>40.74</v>
      </c>
      <c r="S188" s="168">
        <v>34.92</v>
      </c>
      <c r="T188" s="169">
        <f t="shared" si="76"/>
        <v>327.43</v>
      </c>
      <c r="U188" s="170">
        <v>0</v>
      </c>
      <c r="V188" s="170">
        <v>0</v>
      </c>
      <c r="W188" s="171">
        <f t="shared" si="100"/>
        <v>0</v>
      </c>
      <c r="X188" s="171">
        <f t="shared" si="101"/>
        <v>0</v>
      </c>
      <c r="Y188" s="171">
        <f t="shared" si="102"/>
        <v>0</v>
      </c>
      <c r="Z188" s="171">
        <f t="shared" si="103"/>
        <v>0</v>
      </c>
      <c r="AA188" s="137"/>
    </row>
    <row r="189" spans="1:27" ht="31.5" outlineLevel="1" x14ac:dyDescent="0.25">
      <c r="A189" s="166" t="s">
        <v>209</v>
      </c>
      <c r="B189" s="167" t="s">
        <v>678</v>
      </c>
      <c r="C189" s="168" t="s">
        <v>102</v>
      </c>
      <c r="D189" s="168">
        <v>0</v>
      </c>
      <c r="E189" s="168">
        <v>0</v>
      </c>
      <c r="F189" s="168"/>
      <c r="G189" s="168">
        <v>13.7</v>
      </c>
      <c r="H189" s="168">
        <v>83.6</v>
      </c>
      <c r="I189" s="168">
        <v>46.1</v>
      </c>
      <c r="J189" s="168">
        <v>63.1</v>
      </c>
      <c r="K189" s="168">
        <v>36.9</v>
      </c>
      <c r="L189" s="168">
        <v>9.5</v>
      </c>
      <c r="M189" s="168">
        <v>73.2</v>
      </c>
      <c r="N189" s="168">
        <v>4.54</v>
      </c>
      <c r="O189" s="168">
        <v>0</v>
      </c>
      <c r="P189" s="168">
        <v>0</v>
      </c>
      <c r="Q189" s="168">
        <v>0</v>
      </c>
      <c r="R189" s="168">
        <v>0</v>
      </c>
      <c r="S189" s="168">
        <v>2.27</v>
      </c>
      <c r="T189" s="169">
        <f t="shared" si="76"/>
        <v>332.91</v>
      </c>
      <c r="U189" s="170">
        <v>0</v>
      </c>
      <c r="V189" s="170">
        <v>0</v>
      </c>
      <c r="W189" s="171">
        <f t="shared" si="100"/>
        <v>0</v>
      </c>
      <c r="X189" s="171">
        <f t="shared" si="101"/>
        <v>0</v>
      </c>
      <c r="Y189" s="171">
        <f t="shared" si="102"/>
        <v>0</v>
      </c>
      <c r="Z189" s="171">
        <f t="shared" si="103"/>
        <v>0</v>
      </c>
      <c r="AA189" s="137"/>
    </row>
    <row r="190" spans="1:27" ht="31.5" outlineLevel="1" x14ac:dyDescent="0.25">
      <c r="A190" s="166" t="s">
        <v>211</v>
      </c>
      <c r="B190" s="167" t="s">
        <v>676</v>
      </c>
      <c r="C190" s="168" t="s">
        <v>102</v>
      </c>
      <c r="D190" s="168">
        <v>22.4</v>
      </c>
      <c r="E190" s="168">
        <v>0</v>
      </c>
      <c r="F190" s="168">
        <v>111</v>
      </c>
      <c r="G190" s="168">
        <v>175</v>
      </c>
      <c r="H190" s="168">
        <v>109</v>
      </c>
      <c r="I190" s="168">
        <v>161</v>
      </c>
      <c r="J190" s="168">
        <v>109</v>
      </c>
      <c r="K190" s="168">
        <v>174</v>
      </c>
      <c r="L190" s="168">
        <v>115</v>
      </c>
      <c r="M190" s="168">
        <v>151</v>
      </c>
      <c r="N190" s="168">
        <v>68.2</v>
      </c>
      <c r="O190" s="168">
        <v>64.3</v>
      </c>
      <c r="P190" s="168">
        <v>0</v>
      </c>
      <c r="Q190" s="168">
        <v>49.9</v>
      </c>
      <c r="R190" s="168">
        <v>78.8</v>
      </c>
      <c r="S190" s="168">
        <v>73.2</v>
      </c>
      <c r="T190" s="169">
        <f t="shared" si="76"/>
        <v>1461.8000000000002</v>
      </c>
      <c r="U190" s="170">
        <v>0</v>
      </c>
      <c r="V190" s="170">
        <v>0</v>
      </c>
      <c r="W190" s="171">
        <f t="shared" si="100"/>
        <v>0</v>
      </c>
      <c r="X190" s="171">
        <f t="shared" si="101"/>
        <v>0</v>
      </c>
      <c r="Y190" s="171">
        <f t="shared" si="102"/>
        <v>0</v>
      </c>
      <c r="Z190" s="171">
        <f t="shared" si="103"/>
        <v>0</v>
      </c>
      <c r="AA190" s="137"/>
    </row>
    <row r="191" spans="1:27" ht="15.75" outlineLevel="1" x14ac:dyDescent="0.25">
      <c r="A191" s="166" t="s">
        <v>213</v>
      </c>
      <c r="B191" s="167" t="s">
        <v>212</v>
      </c>
      <c r="C191" s="168" t="s">
        <v>98</v>
      </c>
      <c r="D191" s="168">
        <v>102</v>
      </c>
      <c r="E191" s="168">
        <v>136</v>
      </c>
      <c r="F191" s="168">
        <v>360</v>
      </c>
      <c r="G191" s="168">
        <v>465</v>
      </c>
      <c r="H191" s="168">
        <v>368</v>
      </c>
      <c r="I191" s="168">
        <v>395</v>
      </c>
      <c r="J191" s="168">
        <v>342</v>
      </c>
      <c r="K191" s="168">
        <v>433</v>
      </c>
      <c r="L191" s="168"/>
      <c r="M191" s="168">
        <v>508</v>
      </c>
      <c r="N191" s="168">
        <v>109</v>
      </c>
      <c r="O191" s="168">
        <v>181</v>
      </c>
      <c r="P191" s="168">
        <v>105</v>
      </c>
      <c r="Q191" s="168">
        <v>139</v>
      </c>
      <c r="R191" s="168">
        <v>158</v>
      </c>
      <c r="S191" s="168">
        <v>139</v>
      </c>
      <c r="T191" s="169">
        <f t="shared" si="76"/>
        <v>3940</v>
      </c>
      <c r="U191" s="170">
        <v>0</v>
      </c>
      <c r="V191" s="170">
        <v>0</v>
      </c>
      <c r="W191" s="171">
        <f t="shared" si="100"/>
        <v>0</v>
      </c>
      <c r="X191" s="171">
        <f t="shared" si="101"/>
        <v>0</v>
      </c>
      <c r="Y191" s="171">
        <f t="shared" si="102"/>
        <v>0</v>
      </c>
      <c r="Z191" s="171">
        <f t="shared" si="103"/>
        <v>0</v>
      </c>
      <c r="AA191" s="137"/>
    </row>
    <row r="192" spans="1:27" ht="15.75" outlineLevel="1" x14ac:dyDescent="0.25">
      <c r="A192" s="166" t="s">
        <v>215</v>
      </c>
      <c r="B192" s="167" t="s">
        <v>214</v>
      </c>
      <c r="C192" s="168" t="s">
        <v>98</v>
      </c>
      <c r="D192" s="168">
        <v>327</v>
      </c>
      <c r="E192" s="168">
        <v>409</v>
      </c>
      <c r="F192" s="168">
        <v>36</v>
      </c>
      <c r="G192" s="168"/>
      <c r="H192" s="168">
        <v>21</v>
      </c>
      <c r="I192" s="168"/>
      <c r="J192" s="168"/>
      <c r="K192" s="168"/>
      <c r="L192" s="168"/>
      <c r="M192" s="168"/>
      <c r="N192" s="168">
        <v>414</v>
      </c>
      <c r="O192" s="168">
        <v>461</v>
      </c>
      <c r="P192" s="168">
        <v>344</v>
      </c>
      <c r="Q192" s="168">
        <v>289</v>
      </c>
      <c r="R192" s="168">
        <v>398</v>
      </c>
      <c r="S192" s="168">
        <v>446</v>
      </c>
      <c r="T192" s="169">
        <f t="shared" si="76"/>
        <v>3145</v>
      </c>
      <c r="U192" s="170">
        <v>0</v>
      </c>
      <c r="V192" s="170">
        <v>0</v>
      </c>
      <c r="W192" s="171">
        <f t="shared" si="100"/>
        <v>0</v>
      </c>
      <c r="X192" s="171">
        <f t="shared" si="101"/>
        <v>0</v>
      </c>
      <c r="Y192" s="171">
        <f t="shared" si="102"/>
        <v>0</v>
      </c>
      <c r="Z192" s="171">
        <f t="shared" si="103"/>
        <v>0</v>
      </c>
      <c r="AA192" s="137"/>
    </row>
    <row r="193" spans="1:27" ht="15.75" outlineLevel="1" x14ac:dyDescent="0.25">
      <c r="A193" s="166" t="s">
        <v>217</v>
      </c>
      <c r="B193" s="167" t="s">
        <v>216</v>
      </c>
      <c r="C193" s="168" t="s">
        <v>98</v>
      </c>
      <c r="D193" s="168">
        <v>0</v>
      </c>
      <c r="E193" s="168">
        <v>29</v>
      </c>
      <c r="F193" s="168"/>
      <c r="G193" s="168">
        <v>8</v>
      </c>
      <c r="H193" s="168">
        <v>4</v>
      </c>
      <c r="I193" s="168">
        <v>8</v>
      </c>
      <c r="J193" s="168">
        <v>9</v>
      </c>
      <c r="K193" s="168">
        <v>4</v>
      </c>
      <c r="L193" s="168"/>
      <c r="M193" s="168">
        <v>6</v>
      </c>
      <c r="N193" s="168">
        <v>0</v>
      </c>
      <c r="O193" s="168">
        <v>0</v>
      </c>
      <c r="P193" s="168">
        <v>42</v>
      </c>
      <c r="Q193" s="168">
        <v>0</v>
      </c>
      <c r="R193" s="168">
        <v>0</v>
      </c>
      <c r="S193" s="168">
        <v>0</v>
      </c>
      <c r="T193" s="169">
        <f t="shared" si="76"/>
        <v>110</v>
      </c>
      <c r="U193" s="170">
        <v>0</v>
      </c>
      <c r="V193" s="170">
        <v>0</v>
      </c>
      <c r="W193" s="171">
        <f t="shared" si="100"/>
        <v>0</v>
      </c>
      <c r="X193" s="171">
        <f t="shared" si="101"/>
        <v>0</v>
      </c>
      <c r="Y193" s="171">
        <f t="shared" si="102"/>
        <v>0</v>
      </c>
      <c r="Z193" s="171">
        <f t="shared" si="103"/>
        <v>0</v>
      </c>
      <c r="AA193" s="137"/>
    </row>
    <row r="194" spans="1:27" ht="15.75" outlineLevel="1" x14ac:dyDescent="0.25">
      <c r="A194" s="166" t="s">
        <v>867</v>
      </c>
      <c r="B194" s="167" t="s">
        <v>218</v>
      </c>
      <c r="C194" s="168" t="s">
        <v>98</v>
      </c>
      <c r="D194" s="168">
        <v>12</v>
      </c>
      <c r="E194" s="168">
        <v>0</v>
      </c>
      <c r="F194" s="168"/>
      <c r="G194" s="168"/>
      <c r="H194" s="168"/>
      <c r="I194" s="168"/>
      <c r="J194" s="168">
        <v>15</v>
      </c>
      <c r="K194" s="168"/>
      <c r="L194" s="168"/>
      <c r="M194" s="168"/>
      <c r="N194" s="168">
        <v>0</v>
      </c>
      <c r="O194" s="168">
        <v>0</v>
      </c>
      <c r="P194" s="168">
        <v>0</v>
      </c>
      <c r="Q194" s="168">
        <v>0</v>
      </c>
      <c r="R194" s="168">
        <v>6</v>
      </c>
      <c r="S194" s="168">
        <v>6</v>
      </c>
      <c r="T194" s="169">
        <f t="shared" si="76"/>
        <v>39</v>
      </c>
      <c r="U194" s="170">
        <v>0</v>
      </c>
      <c r="V194" s="170">
        <v>0</v>
      </c>
      <c r="W194" s="171">
        <f t="shared" si="100"/>
        <v>0</v>
      </c>
      <c r="X194" s="171">
        <f t="shared" si="101"/>
        <v>0</v>
      </c>
      <c r="Y194" s="171">
        <f t="shared" si="102"/>
        <v>0</v>
      </c>
      <c r="Z194" s="171">
        <f t="shared" si="103"/>
        <v>0</v>
      </c>
      <c r="AA194" s="137"/>
    </row>
    <row r="195" spans="1:27" ht="15.75" outlineLevel="1" x14ac:dyDescent="0.25">
      <c r="A195" s="166" t="s">
        <v>219</v>
      </c>
      <c r="B195" s="167" t="s">
        <v>220</v>
      </c>
      <c r="C195" s="168" t="s">
        <v>98</v>
      </c>
      <c r="D195" s="168">
        <v>0</v>
      </c>
      <c r="E195" s="168">
        <v>0</v>
      </c>
      <c r="F195" s="168"/>
      <c r="G195" s="168"/>
      <c r="H195" s="168"/>
      <c r="I195" s="168"/>
      <c r="J195" s="168"/>
      <c r="K195" s="168"/>
      <c r="L195" s="168"/>
      <c r="M195" s="168">
        <v>20</v>
      </c>
      <c r="N195" s="168">
        <v>0</v>
      </c>
      <c r="O195" s="168">
        <v>0</v>
      </c>
      <c r="P195" s="168">
        <v>0</v>
      </c>
      <c r="Q195" s="168">
        <v>0</v>
      </c>
      <c r="R195" s="168">
        <v>0</v>
      </c>
      <c r="S195" s="168">
        <v>0</v>
      </c>
      <c r="T195" s="169">
        <f t="shared" si="76"/>
        <v>20</v>
      </c>
      <c r="U195" s="170">
        <v>0</v>
      </c>
      <c r="V195" s="170">
        <v>0</v>
      </c>
      <c r="W195" s="171">
        <f t="shared" si="100"/>
        <v>0</v>
      </c>
      <c r="X195" s="171">
        <f t="shared" si="101"/>
        <v>0</v>
      </c>
      <c r="Y195" s="171">
        <f t="shared" si="102"/>
        <v>0</v>
      </c>
      <c r="Z195" s="171">
        <f t="shared" si="103"/>
        <v>0</v>
      </c>
      <c r="AA195" s="137"/>
    </row>
    <row r="196" spans="1:27" ht="15.75" outlineLevel="1" x14ac:dyDescent="0.25">
      <c r="A196" s="166" t="s">
        <v>221</v>
      </c>
      <c r="B196" s="167" t="s">
        <v>222</v>
      </c>
      <c r="C196" s="168" t="s">
        <v>98</v>
      </c>
      <c r="D196" s="168">
        <v>0</v>
      </c>
      <c r="E196" s="168">
        <v>0</v>
      </c>
      <c r="F196" s="168"/>
      <c r="G196" s="168"/>
      <c r="H196" s="168"/>
      <c r="I196" s="168"/>
      <c r="J196" s="168"/>
      <c r="K196" s="168">
        <v>26</v>
      </c>
      <c r="L196" s="168"/>
      <c r="M196" s="168">
        <v>38</v>
      </c>
      <c r="N196" s="168">
        <v>0</v>
      </c>
      <c r="O196" s="168">
        <v>19</v>
      </c>
      <c r="P196" s="168">
        <v>0</v>
      </c>
      <c r="Q196" s="168">
        <v>19</v>
      </c>
      <c r="R196" s="168">
        <v>0</v>
      </c>
      <c r="S196" s="168">
        <v>0</v>
      </c>
      <c r="T196" s="169">
        <f t="shared" si="76"/>
        <v>102</v>
      </c>
      <c r="U196" s="170">
        <v>0</v>
      </c>
      <c r="V196" s="170">
        <v>0</v>
      </c>
      <c r="W196" s="171">
        <f t="shared" si="100"/>
        <v>0</v>
      </c>
      <c r="X196" s="171">
        <f t="shared" si="101"/>
        <v>0</v>
      </c>
      <c r="Y196" s="171">
        <f t="shared" si="102"/>
        <v>0</v>
      </c>
      <c r="Z196" s="171">
        <f t="shared" si="103"/>
        <v>0</v>
      </c>
      <c r="AA196" s="137"/>
    </row>
    <row r="197" spans="1:27" ht="15.75" outlineLevel="1" x14ac:dyDescent="0.25">
      <c r="A197" s="166" t="s">
        <v>223</v>
      </c>
      <c r="B197" s="167" t="s">
        <v>224</v>
      </c>
      <c r="C197" s="168" t="s">
        <v>98</v>
      </c>
      <c r="D197" s="168">
        <v>0</v>
      </c>
      <c r="E197" s="168">
        <v>0</v>
      </c>
      <c r="F197" s="168"/>
      <c r="G197" s="168"/>
      <c r="H197" s="168"/>
      <c r="I197" s="168"/>
      <c r="J197" s="168"/>
      <c r="K197" s="168"/>
      <c r="L197" s="168"/>
      <c r="M197" s="168"/>
      <c r="N197" s="168">
        <v>0</v>
      </c>
      <c r="O197" s="168">
        <v>40</v>
      </c>
      <c r="P197" s="168">
        <v>0</v>
      </c>
      <c r="Q197" s="168">
        <v>0</v>
      </c>
      <c r="R197" s="168">
        <v>42</v>
      </c>
      <c r="S197" s="168">
        <v>0</v>
      </c>
      <c r="T197" s="169">
        <f t="shared" si="76"/>
        <v>82</v>
      </c>
      <c r="U197" s="170">
        <v>0</v>
      </c>
      <c r="V197" s="170">
        <v>0</v>
      </c>
      <c r="W197" s="171">
        <f t="shared" si="100"/>
        <v>0</v>
      </c>
      <c r="X197" s="171">
        <f t="shared" si="101"/>
        <v>0</v>
      </c>
      <c r="Y197" s="171">
        <f t="shared" si="102"/>
        <v>0</v>
      </c>
      <c r="Z197" s="171">
        <f t="shared" si="103"/>
        <v>0</v>
      </c>
      <c r="AA197" s="137"/>
    </row>
    <row r="198" spans="1:27" ht="31.5" x14ac:dyDescent="0.25">
      <c r="A198" s="160" t="s">
        <v>225</v>
      </c>
      <c r="B198" s="161" t="s">
        <v>226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84"/>
      <c r="T198" s="184"/>
      <c r="U198" s="173"/>
      <c r="V198" s="173"/>
      <c r="W198" s="173"/>
      <c r="X198" s="205">
        <f>SUBTOTAL(9,X199:X231)</f>
        <v>0</v>
      </c>
      <c r="Y198" s="205">
        <f t="shared" ref="Y198:Z198" si="104">SUBTOTAL(9,Y199:Y231)</f>
        <v>0</v>
      </c>
      <c r="Z198" s="205">
        <f t="shared" si="104"/>
        <v>0</v>
      </c>
      <c r="AA198" s="136"/>
    </row>
    <row r="199" spans="1:27" ht="15.75" outlineLevel="1" x14ac:dyDescent="0.25">
      <c r="A199" s="177" t="s">
        <v>227</v>
      </c>
      <c r="B199" s="167" t="s">
        <v>661</v>
      </c>
      <c r="C199" s="168" t="s">
        <v>98</v>
      </c>
      <c r="D199" s="168">
        <v>10</v>
      </c>
      <c r="E199" s="168">
        <v>0</v>
      </c>
      <c r="F199" s="168"/>
      <c r="G199" s="168"/>
      <c r="H199" s="168"/>
      <c r="I199" s="168">
        <f>12</f>
        <v>12</v>
      </c>
      <c r="J199" s="168">
        <v>1</v>
      </c>
      <c r="K199" s="168">
        <v>24</v>
      </c>
      <c r="L199" s="168"/>
      <c r="M199" s="168"/>
      <c r="N199" s="168">
        <v>0</v>
      </c>
      <c r="O199" s="168">
        <v>0</v>
      </c>
      <c r="P199" s="168">
        <v>0</v>
      </c>
      <c r="Q199" s="168">
        <v>0</v>
      </c>
      <c r="R199" s="168">
        <v>0</v>
      </c>
      <c r="S199" s="168">
        <v>0</v>
      </c>
      <c r="T199" s="169">
        <f t="shared" ref="T199:T259" si="105">SUM(D199:S199)</f>
        <v>47</v>
      </c>
      <c r="U199" s="170">
        <v>0</v>
      </c>
      <c r="V199" s="170">
        <v>0</v>
      </c>
      <c r="W199" s="171">
        <f t="shared" ref="W199" si="106">V199+U199</f>
        <v>0</v>
      </c>
      <c r="X199" s="171">
        <f t="shared" ref="X199" si="107">$T199*U199</f>
        <v>0</v>
      </c>
      <c r="Y199" s="171">
        <f t="shared" ref="Y199" si="108">$T199*V199</f>
        <v>0</v>
      </c>
      <c r="Z199" s="171">
        <f t="shared" ref="Z199" si="109">Y199+X199</f>
        <v>0</v>
      </c>
      <c r="AA199" s="140"/>
    </row>
    <row r="200" spans="1:27" ht="15.75" outlineLevel="1" x14ac:dyDescent="0.25">
      <c r="A200" s="177" t="s">
        <v>229</v>
      </c>
      <c r="B200" s="167" t="s">
        <v>228</v>
      </c>
      <c r="C200" s="168" t="s">
        <v>98</v>
      </c>
      <c r="D200" s="168">
        <v>0</v>
      </c>
      <c r="E200" s="168">
        <v>0</v>
      </c>
      <c r="F200" s="168">
        <v>26</v>
      </c>
      <c r="G200" s="168">
        <v>78</v>
      </c>
      <c r="H200" s="168">
        <v>66</v>
      </c>
      <c r="I200" s="168"/>
      <c r="J200" s="168"/>
      <c r="K200" s="168"/>
      <c r="L200" s="168">
        <v>42</v>
      </c>
      <c r="M200" s="168">
        <v>106</v>
      </c>
      <c r="N200" s="168">
        <v>46</v>
      </c>
      <c r="O200" s="168">
        <v>110</v>
      </c>
      <c r="P200" s="168">
        <v>23</v>
      </c>
      <c r="Q200" s="168">
        <v>105</v>
      </c>
      <c r="R200" s="168">
        <v>120</v>
      </c>
      <c r="S200" s="168">
        <v>68</v>
      </c>
      <c r="T200" s="169">
        <f t="shared" si="105"/>
        <v>790</v>
      </c>
      <c r="U200" s="170">
        <v>0</v>
      </c>
      <c r="V200" s="170">
        <v>0</v>
      </c>
      <c r="W200" s="171">
        <f t="shared" ref="W200:W231" si="110">V200+U200</f>
        <v>0</v>
      </c>
      <c r="X200" s="171">
        <f t="shared" ref="X200:X231" si="111">$T200*U200</f>
        <v>0</v>
      </c>
      <c r="Y200" s="171">
        <f t="shared" ref="Y200:Y231" si="112">$T200*V200</f>
        <v>0</v>
      </c>
      <c r="Z200" s="171">
        <f t="shared" ref="Z200:Z231" si="113">Y200+X200</f>
        <v>0</v>
      </c>
      <c r="AA200" s="137"/>
    </row>
    <row r="201" spans="1:27" ht="15.75" outlineLevel="1" x14ac:dyDescent="0.25">
      <c r="A201" s="177" t="s">
        <v>231</v>
      </c>
      <c r="B201" s="167" t="s">
        <v>230</v>
      </c>
      <c r="C201" s="168" t="s">
        <v>98</v>
      </c>
      <c r="D201" s="168">
        <v>0</v>
      </c>
      <c r="E201" s="168">
        <v>0</v>
      </c>
      <c r="F201" s="168">
        <v>6</v>
      </c>
      <c r="G201" s="168">
        <v>12</v>
      </c>
      <c r="H201" s="168">
        <v>19</v>
      </c>
      <c r="I201" s="168"/>
      <c r="J201" s="168"/>
      <c r="K201" s="168"/>
      <c r="L201" s="168"/>
      <c r="M201" s="168"/>
      <c r="N201" s="168">
        <v>4</v>
      </c>
      <c r="O201" s="168">
        <v>12</v>
      </c>
      <c r="P201" s="168">
        <v>7</v>
      </c>
      <c r="Q201" s="168">
        <v>6</v>
      </c>
      <c r="R201" s="168">
        <v>14</v>
      </c>
      <c r="S201" s="168">
        <v>0</v>
      </c>
      <c r="T201" s="169">
        <f t="shared" si="105"/>
        <v>80</v>
      </c>
      <c r="U201" s="170">
        <v>0</v>
      </c>
      <c r="V201" s="170">
        <v>0</v>
      </c>
      <c r="W201" s="171">
        <f t="shared" si="110"/>
        <v>0</v>
      </c>
      <c r="X201" s="171">
        <f t="shared" si="111"/>
        <v>0</v>
      </c>
      <c r="Y201" s="171">
        <f t="shared" si="112"/>
        <v>0</v>
      </c>
      <c r="Z201" s="171">
        <f t="shared" si="113"/>
        <v>0</v>
      </c>
      <c r="AA201" s="137"/>
    </row>
    <row r="202" spans="1:27" ht="15.75" outlineLevel="1" x14ac:dyDescent="0.25">
      <c r="A202" s="177" t="s">
        <v>232</v>
      </c>
      <c r="B202" s="167" t="s">
        <v>522</v>
      </c>
      <c r="C202" s="168" t="s">
        <v>98</v>
      </c>
      <c r="D202" s="168">
        <v>0</v>
      </c>
      <c r="E202" s="168">
        <v>0</v>
      </c>
      <c r="F202" s="168"/>
      <c r="G202" s="168">
        <v>12</v>
      </c>
      <c r="H202" s="168"/>
      <c r="I202" s="168"/>
      <c r="J202" s="168"/>
      <c r="K202" s="168"/>
      <c r="L202" s="168"/>
      <c r="M202" s="168"/>
      <c r="N202" s="168">
        <v>0</v>
      </c>
      <c r="O202" s="168">
        <v>0</v>
      </c>
      <c r="P202" s="168">
        <v>0</v>
      </c>
      <c r="Q202" s="168">
        <v>0</v>
      </c>
      <c r="R202" s="168">
        <v>0</v>
      </c>
      <c r="S202" s="168">
        <v>0</v>
      </c>
      <c r="T202" s="169">
        <f t="shared" si="105"/>
        <v>12</v>
      </c>
      <c r="U202" s="170">
        <v>0</v>
      </c>
      <c r="V202" s="170">
        <v>0</v>
      </c>
      <c r="W202" s="171">
        <f t="shared" si="110"/>
        <v>0</v>
      </c>
      <c r="X202" s="171">
        <f t="shared" si="111"/>
        <v>0</v>
      </c>
      <c r="Y202" s="171">
        <f t="shared" si="112"/>
        <v>0</v>
      </c>
      <c r="Z202" s="171">
        <f t="shared" si="113"/>
        <v>0</v>
      </c>
      <c r="AA202" s="137"/>
    </row>
    <row r="203" spans="1:27" ht="15.75" outlineLevel="1" x14ac:dyDescent="0.25">
      <c r="A203" s="177" t="s">
        <v>234</v>
      </c>
      <c r="B203" s="167" t="s">
        <v>233</v>
      </c>
      <c r="C203" s="168" t="s">
        <v>98</v>
      </c>
      <c r="D203" s="168">
        <v>36</v>
      </c>
      <c r="E203" s="168">
        <v>41</v>
      </c>
      <c r="F203" s="168"/>
      <c r="G203" s="168"/>
      <c r="H203" s="168"/>
      <c r="I203" s="168">
        <f>75</f>
        <v>75</v>
      </c>
      <c r="J203" s="168">
        <v>58</v>
      </c>
      <c r="K203" s="168">
        <v>87</v>
      </c>
      <c r="L203" s="168">
        <v>17</v>
      </c>
      <c r="M203" s="168">
        <v>19</v>
      </c>
      <c r="N203" s="168">
        <v>0</v>
      </c>
      <c r="O203" s="168">
        <v>0</v>
      </c>
      <c r="P203" s="168">
        <v>0</v>
      </c>
      <c r="Q203" s="168">
        <v>0</v>
      </c>
      <c r="R203" s="168">
        <v>0</v>
      </c>
      <c r="S203" s="168">
        <v>25</v>
      </c>
      <c r="T203" s="169">
        <f t="shared" si="105"/>
        <v>358</v>
      </c>
      <c r="U203" s="170">
        <v>0</v>
      </c>
      <c r="V203" s="170">
        <v>0</v>
      </c>
      <c r="W203" s="171">
        <f t="shared" si="110"/>
        <v>0</v>
      </c>
      <c r="X203" s="171">
        <f t="shared" si="111"/>
        <v>0</v>
      </c>
      <c r="Y203" s="171">
        <f t="shared" si="112"/>
        <v>0</v>
      </c>
      <c r="Z203" s="171">
        <f t="shared" si="113"/>
        <v>0</v>
      </c>
      <c r="AA203" s="137"/>
    </row>
    <row r="204" spans="1:27" ht="15.75" outlineLevel="1" x14ac:dyDescent="0.25">
      <c r="A204" s="177" t="s">
        <v>235</v>
      </c>
      <c r="B204" s="167" t="s">
        <v>681</v>
      </c>
      <c r="C204" s="168" t="s">
        <v>98</v>
      </c>
      <c r="D204" s="168">
        <v>0</v>
      </c>
      <c r="E204" s="168">
        <v>0</v>
      </c>
      <c r="F204" s="168"/>
      <c r="G204" s="168"/>
      <c r="H204" s="168">
        <v>11</v>
      </c>
      <c r="I204" s="168"/>
      <c r="J204" s="168"/>
      <c r="K204" s="168"/>
      <c r="L204" s="168"/>
      <c r="M204" s="168">
        <v>14</v>
      </c>
      <c r="N204" s="168">
        <v>0</v>
      </c>
      <c r="O204" s="168">
        <v>0</v>
      </c>
      <c r="P204" s="168">
        <v>17</v>
      </c>
      <c r="Q204" s="168">
        <v>0</v>
      </c>
      <c r="R204" s="168">
        <v>7</v>
      </c>
      <c r="S204" s="168">
        <v>23</v>
      </c>
      <c r="T204" s="169">
        <f t="shared" si="105"/>
        <v>72</v>
      </c>
      <c r="U204" s="170">
        <v>0</v>
      </c>
      <c r="V204" s="170">
        <v>0</v>
      </c>
      <c r="W204" s="171">
        <f t="shared" si="110"/>
        <v>0</v>
      </c>
      <c r="X204" s="171">
        <f t="shared" si="111"/>
        <v>0</v>
      </c>
      <c r="Y204" s="171">
        <f t="shared" si="112"/>
        <v>0</v>
      </c>
      <c r="Z204" s="171">
        <f t="shared" si="113"/>
        <v>0</v>
      </c>
      <c r="AA204" s="137"/>
    </row>
    <row r="205" spans="1:27" ht="15.75" outlineLevel="1" x14ac:dyDescent="0.25">
      <c r="A205" s="177" t="s">
        <v>236</v>
      </c>
      <c r="B205" s="167" t="s">
        <v>244</v>
      </c>
      <c r="C205" s="168" t="s">
        <v>98</v>
      </c>
      <c r="D205" s="168">
        <v>0</v>
      </c>
      <c r="E205" s="168">
        <v>0</v>
      </c>
      <c r="F205" s="168">
        <v>18</v>
      </c>
      <c r="G205" s="168"/>
      <c r="H205" s="168"/>
      <c r="I205" s="168">
        <v>3</v>
      </c>
      <c r="J205" s="168"/>
      <c r="K205" s="168">
        <v>14</v>
      </c>
      <c r="L205" s="168"/>
      <c r="M205" s="168"/>
      <c r="N205" s="168">
        <v>74</v>
      </c>
      <c r="O205" s="168">
        <v>22</v>
      </c>
      <c r="P205" s="168">
        <v>0</v>
      </c>
      <c r="Q205" s="168">
        <v>0</v>
      </c>
      <c r="R205" s="168">
        <v>0</v>
      </c>
      <c r="S205" s="168">
        <v>0</v>
      </c>
      <c r="T205" s="169">
        <f t="shared" si="105"/>
        <v>131</v>
      </c>
      <c r="U205" s="170">
        <v>0</v>
      </c>
      <c r="V205" s="170">
        <v>0</v>
      </c>
      <c r="W205" s="171">
        <f t="shared" si="110"/>
        <v>0</v>
      </c>
      <c r="X205" s="171">
        <f t="shared" si="111"/>
        <v>0</v>
      </c>
      <c r="Y205" s="171">
        <f t="shared" si="112"/>
        <v>0</v>
      </c>
      <c r="Z205" s="171">
        <f t="shared" si="113"/>
        <v>0</v>
      </c>
      <c r="AA205" s="137"/>
    </row>
    <row r="206" spans="1:27" ht="15.75" outlineLevel="1" x14ac:dyDescent="0.25">
      <c r="A206" s="177" t="s">
        <v>238</v>
      </c>
      <c r="B206" s="167" t="s">
        <v>237</v>
      </c>
      <c r="C206" s="168" t="s">
        <v>98</v>
      </c>
      <c r="D206" s="168">
        <v>19</v>
      </c>
      <c r="E206" s="168">
        <v>12</v>
      </c>
      <c r="F206" s="168"/>
      <c r="G206" s="168"/>
      <c r="H206" s="168"/>
      <c r="I206" s="168"/>
      <c r="J206" s="168"/>
      <c r="K206" s="168"/>
      <c r="L206" s="168"/>
      <c r="M206" s="168"/>
      <c r="N206" s="168">
        <v>0</v>
      </c>
      <c r="O206" s="168">
        <v>0</v>
      </c>
      <c r="P206" s="168">
        <v>0</v>
      </c>
      <c r="Q206" s="168">
        <v>0</v>
      </c>
      <c r="R206" s="168">
        <v>0</v>
      </c>
      <c r="S206" s="168">
        <v>0</v>
      </c>
      <c r="T206" s="169">
        <f t="shared" si="105"/>
        <v>31</v>
      </c>
      <c r="U206" s="170">
        <v>0</v>
      </c>
      <c r="V206" s="170">
        <v>0</v>
      </c>
      <c r="W206" s="171">
        <f t="shared" si="110"/>
        <v>0</v>
      </c>
      <c r="X206" s="171">
        <f t="shared" si="111"/>
        <v>0</v>
      </c>
      <c r="Y206" s="171">
        <f t="shared" si="112"/>
        <v>0</v>
      </c>
      <c r="Z206" s="171">
        <f t="shared" si="113"/>
        <v>0</v>
      </c>
      <c r="AA206" s="137"/>
    </row>
    <row r="207" spans="1:27" ht="15.75" outlineLevel="1" x14ac:dyDescent="0.25">
      <c r="A207" s="177" t="s">
        <v>239</v>
      </c>
      <c r="B207" s="167" t="s">
        <v>251</v>
      </c>
      <c r="C207" s="168" t="s">
        <v>98</v>
      </c>
      <c r="D207" s="168">
        <v>10</v>
      </c>
      <c r="E207" s="168">
        <v>11</v>
      </c>
      <c r="F207" s="168"/>
      <c r="G207" s="168"/>
      <c r="H207" s="168"/>
      <c r="I207" s="168"/>
      <c r="J207" s="168"/>
      <c r="K207" s="168"/>
      <c r="L207" s="168"/>
      <c r="M207" s="168"/>
      <c r="N207" s="168">
        <v>0</v>
      </c>
      <c r="O207" s="168">
        <v>0</v>
      </c>
      <c r="P207" s="168">
        <v>0</v>
      </c>
      <c r="Q207" s="168">
        <v>0</v>
      </c>
      <c r="R207" s="168">
        <v>0</v>
      </c>
      <c r="S207" s="168">
        <v>0</v>
      </c>
      <c r="T207" s="169">
        <f t="shared" si="105"/>
        <v>21</v>
      </c>
      <c r="U207" s="170">
        <v>0</v>
      </c>
      <c r="V207" s="170">
        <v>0</v>
      </c>
      <c r="W207" s="171">
        <f t="shared" si="110"/>
        <v>0</v>
      </c>
      <c r="X207" s="171">
        <f t="shared" si="111"/>
        <v>0</v>
      </c>
      <c r="Y207" s="171">
        <f t="shared" si="112"/>
        <v>0</v>
      </c>
      <c r="Z207" s="171">
        <f t="shared" si="113"/>
        <v>0</v>
      </c>
      <c r="AA207" s="137"/>
    </row>
    <row r="208" spans="1:27" ht="15.75" outlineLevel="1" x14ac:dyDescent="0.25">
      <c r="A208" s="177" t="s">
        <v>241</v>
      </c>
      <c r="B208" s="167" t="s">
        <v>524</v>
      </c>
      <c r="C208" s="168" t="s">
        <v>98</v>
      </c>
      <c r="D208" s="168">
        <v>0</v>
      </c>
      <c r="E208" s="168">
        <v>0</v>
      </c>
      <c r="F208" s="168"/>
      <c r="G208" s="168"/>
      <c r="H208" s="168"/>
      <c r="I208" s="168"/>
      <c r="J208" s="168"/>
      <c r="K208" s="168"/>
      <c r="L208" s="168">
        <v>14</v>
      </c>
      <c r="M208" s="168"/>
      <c r="N208" s="168">
        <v>0</v>
      </c>
      <c r="O208" s="168">
        <v>0</v>
      </c>
      <c r="P208" s="168">
        <v>0</v>
      </c>
      <c r="Q208" s="168">
        <v>0</v>
      </c>
      <c r="R208" s="168">
        <v>4</v>
      </c>
      <c r="S208" s="168">
        <v>0</v>
      </c>
      <c r="T208" s="169">
        <f t="shared" si="105"/>
        <v>18</v>
      </c>
      <c r="U208" s="170">
        <v>0</v>
      </c>
      <c r="V208" s="170">
        <v>0</v>
      </c>
      <c r="W208" s="171">
        <f t="shared" si="110"/>
        <v>0</v>
      </c>
      <c r="X208" s="171">
        <f t="shared" si="111"/>
        <v>0</v>
      </c>
      <c r="Y208" s="171">
        <f t="shared" si="112"/>
        <v>0</v>
      </c>
      <c r="Z208" s="171">
        <f t="shared" si="113"/>
        <v>0</v>
      </c>
      <c r="AA208" s="137"/>
    </row>
    <row r="209" spans="1:27" ht="15.75" outlineLevel="1" x14ac:dyDescent="0.25">
      <c r="A209" s="177" t="s">
        <v>243</v>
      </c>
      <c r="B209" s="167" t="s">
        <v>247</v>
      </c>
      <c r="C209" s="168" t="s">
        <v>98</v>
      </c>
      <c r="D209" s="168">
        <v>0</v>
      </c>
      <c r="E209" s="168">
        <v>0</v>
      </c>
      <c r="F209" s="168">
        <v>4</v>
      </c>
      <c r="G209" s="168"/>
      <c r="H209" s="168"/>
      <c r="I209" s="168">
        <v>17</v>
      </c>
      <c r="J209" s="168">
        <v>18</v>
      </c>
      <c r="K209" s="168">
        <v>6</v>
      </c>
      <c r="L209" s="168"/>
      <c r="M209" s="168"/>
      <c r="N209" s="168">
        <v>0</v>
      </c>
      <c r="O209" s="168">
        <v>0</v>
      </c>
      <c r="P209" s="168">
        <v>11</v>
      </c>
      <c r="Q209" s="168">
        <v>0</v>
      </c>
      <c r="R209" s="168">
        <v>0</v>
      </c>
      <c r="S209" s="168">
        <v>0</v>
      </c>
      <c r="T209" s="169">
        <f t="shared" si="105"/>
        <v>56</v>
      </c>
      <c r="U209" s="170">
        <v>0</v>
      </c>
      <c r="V209" s="170">
        <v>0</v>
      </c>
      <c r="W209" s="171">
        <f t="shared" si="110"/>
        <v>0</v>
      </c>
      <c r="X209" s="171">
        <f t="shared" si="111"/>
        <v>0</v>
      </c>
      <c r="Y209" s="171">
        <f t="shared" si="112"/>
        <v>0</v>
      </c>
      <c r="Z209" s="171">
        <f t="shared" si="113"/>
        <v>0</v>
      </c>
      <c r="AA209" s="137"/>
    </row>
    <row r="210" spans="1:27" ht="15.75" outlineLevel="1" x14ac:dyDescent="0.25">
      <c r="A210" s="177" t="s">
        <v>245</v>
      </c>
      <c r="B210" s="167" t="s">
        <v>249</v>
      </c>
      <c r="C210" s="168" t="s">
        <v>98</v>
      </c>
      <c r="D210" s="168">
        <v>0</v>
      </c>
      <c r="E210" s="168">
        <v>0</v>
      </c>
      <c r="F210" s="168"/>
      <c r="G210" s="168"/>
      <c r="H210" s="168"/>
      <c r="I210" s="168"/>
      <c r="J210" s="168"/>
      <c r="K210" s="168"/>
      <c r="L210" s="168">
        <v>74</v>
      </c>
      <c r="M210" s="168">
        <v>35</v>
      </c>
      <c r="N210" s="168">
        <v>0</v>
      </c>
      <c r="O210" s="168">
        <v>0</v>
      </c>
      <c r="P210" s="168">
        <v>0</v>
      </c>
      <c r="Q210" s="168">
        <v>0</v>
      </c>
      <c r="R210" s="168">
        <v>0</v>
      </c>
      <c r="S210" s="168">
        <v>0</v>
      </c>
      <c r="T210" s="169">
        <f t="shared" si="105"/>
        <v>109</v>
      </c>
      <c r="U210" s="170">
        <v>0</v>
      </c>
      <c r="V210" s="170">
        <v>0</v>
      </c>
      <c r="W210" s="171">
        <f t="shared" si="110"/>
        <v>0</v>
      </c>
      <c r="X210" s="171">
        <f t="shared" si="111"/>
        <v>0</v>
      </c>
      <c r="Y210" s="171">
        <f t="shared" si="112"/>
        <v>0</v>
      </c>
      <c r="Z210" s="171">
        <f t="shared" si="113"/>
        <v>0</v>
      </c>
      <c r="AA210" s="137"/>
    </row>
    <row r="211" spans="1:27" ht="15.75" outlineLevel="1" x14ac:dyDescent="0.25">
      <c r="A211" s="177" t="s">
        <v>246</v>
      </c>
      <c r="B211" s="167" t="s">
        <v>766</v>
      </c>
      <c r="C211" s="168" t="s">
        <v>98</v>
      </c>
      <c r="D211" s="168"/>
      <c r="E211" s="168"/>
      <c r="F211" s="168"/>
      <c r="G211" s="168"/>
      <c r="H211" s="168">
        <v>1</v>
      </c>
      <c r="I211" s="168"/>
      <c r="J211" s="168"/>
      <c r="K211" s="168"/>
      <c r="L211" s="168"/>
      <c r="M211" s="168"/>
      <c r="N211" s="168">
        <v>5</v>
      </c>
      <c r="O211" s="168">
        <v>2</v>
      </c>
      <c r="P211" s="168">
        <v>0</v>
      </c>
      <c r="Q211" s="168">
        <v>0</v>
      </c>
      <c r="R211" s="168">
        <v>0</v>
      </c>
      <c r="S211" s="168">
        <v>0</v>
      </c>
      <c r="T211" s="169">
        <f t="shared" si="105"/>
        <v>8</v>
      </c>
      <c r="U211" s="170">
        <v>0</v>
      </c>
      <c r="V211" s="170">
        <v>0</v>
      </c>
      <c r="W211" s="171">
        <f t="shared" si="110"/>
        <v>0</v>
      </c>
      <c r="X211" s="171">
        <f t="shared" si="111"/>
        <v>0</v>
      </c>
      <c r="Y211" s="171">
        <f t="shared" si="112"/>
        <v>0</v>
      </c>
      <c r="Z211" s="171">
        <f t="shared" si="113"/>
        <v>0</v>
      </c>
      <c r="AA211" s="137"/>
    </row>
    <row r="212" spans="1:27" ht="15.75" outlineLevel="1" x14ac:dyDescent="0.25">
      <c r="A212" s="177" t="s">
        <v>248</v>
      </c>
      <c r="B212" s="167" t="s">
        <v>695</v>
      </c>
      <c r="C212" s="168" t="s">
        <v>98</v>
      </c>
      <c r="D212" s="168">
        <v>0</v>
      </c>
      <c r="E212" s="168">
        <v>0</v>
      </c>
      <c r="F212" s="168"/>
      <c r="G212" s="168"/>
      <c r="H212" s="168"/>
      <c r="I212" s="168"/>
      <c r="J212" s="168"/>
      <c r="K212" s="168"/>
      <c r="L212" s="168"/>
      <c r="M212" s="168"/>
      <c r="N212" s="168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1</v>
      </c>
      <c r="T212" s="169">
        <f t="shared" si="105"/>
        <v>1</v>
      </c>
      <c r="U212" s="170">
        <v>0</v>
      </c>
      <c r="V212" s="170">
        <v>0</v>
      </c>
      <c r="W212" s="171">
        <f t="shared" si="110"/>
        <v>0</v>
      </c>
      <c r="X212" s="171">
        <f t="shared" si="111"/>
        <v>0</v>
      </c>
      <c r="Y212" s="171">
        <f t="shared" si="112"/>
        <v>0</v>
      </c>
      <c r="Z212" s="171">
        <f t="shared" si="113"/>
        <v>0</v>
      </c>
      <c r="AA212" s="137"/>
    </row>
    <row r="213" spans="1:27" ht="15.75" outlineLevel="1" x14ac:dyDescent="0.25">
      <c r="A213" s="177" t="s">
        <v>250</v>
      </c>
      <c r="B213" s="167" t="s">
        <v>526</v>
      </c>
      <c r="C213" s="168" t="s">
        <v>98</v>
      </c>
      <c r="D213" s="168">
        <v>0</v>
      </c>
      <c r="E213" s="168">
        <v>10</v>
      </c>
      <c r="F213" s="168">
        <v>25</v>
      </c>
      <c r="G213" s="168"/>
      <c r="H213" s="168"/>
      <c r="I213" s="168">
        <v>24</v>
      </c>
      <c r="J213" s="168">
        <v>22</v>
      </c>
      <c r="K213" s="168"/>
      <c r="L213" s="168">
        <v>1</v>
      </c>
      <c r="M213" s="168">
        <v>1</v>
      </c>
      <c r="N213" s="168">
        <v>2</v>
      </c>
      <c r="O213" s="168">
        <v>0</v>
      </c>
      <c r="P213" s="168">
        <v>10</v>
      </c>
      <c r="Q213" s="168">
        <v>0</v>
      </c>
      <c r="R213" s="168">
        <v>0</v>
      </c>
      <c r="S213" s="168">
        <v>0</v>
      </c>
      <c r="T213" s="169">
        <f t="shared" si="105"/>
        <v>95</v>
      </c>
      <c r="U213" s="170">
        <v>0</v>
      </c>
      <c r="V213" s="170">
        <v>0</v>
      </c>
      <c r="W213" s="171">
        <f t="shared" si="110"/>
        <v>0</v>
      </c>
      <c r="X213" s="171">
        <f t="shared" si="111"/>
        <v>0</v>
      </c>
      <c r="Y213" s="171">
        <f t="shared" si="112"/>
        <v>0</v>
      </c>
      <c r="Z213" s="171">
        <f t="shared" si="113"/>
        <v>0</v>
      </c>
      <c r="AA213" s="137"/>
    </row>
    <row r="214" spans="1:27" ht="15.75" outlineLevel="1" x14ac:dyDescent="0.25">
      <c r="A214" s="177" t="s">
        <v>252</v>
      </c>
      <c r="B214" s="167" t="s">
        <v>263</v>
      </c>
      <c r="C214" s="168" t="s">
        <v>98</v>
      </c>
      <c r="D214" s="168">
        <v>0</v>
      </c>
      <c r="E214" s="168">
        <v>0</v>
      </c>
      <c r="F214" s="168"/>
      <c r="G214" s="168">
        <v>15</v>
      </c>
      <c r="H214" s="168">
        <v>8</v>
      </c>
      <c r="I214" s="168"/>
      <c r="J214" s="168"/>
      <c r="K214" s="168"/>
      <c r="L214" s="168"/>
      <c r="M214" s="168"/>
      <c r="N214" s="168">
        <v>0</v>
      </c>
      <c r="O214" s="168">
        <v>0</v>
      </c>
      <c r="P214" s="168">
        <v>0</v>
      </c>
      <c r="Q214" s="168">
        <v>37</v>
      </c>
      <c r="R214" s="168">
        <v>37</v>
      </c>
      <c r="S214" s="168">
        <v>0</v>
      </c>
      <c r="T214" s="169">
        <f t="shared" si="105"/>
        <v>97</v>
      </c>
      <c r="U214" s="170">
        <v>0</v>
      </c>
      <c r="V214" s="170">
        <v>0</v>
      </c>
      <c r="W214" s="171">
        <f t="shared" si="110"/>
        <v>0</v>
      </c>
      <c r="X214" s="171">
        <f t="shared" si="111"/>
        <v>0</v>
      </c>
      <c r="Y214" s="171">
        <f t="shared" si="112"/>
        <v>0</v>
      </c>
      <c r="Z214" s="171">
        <f t="shared" si="113"/>
        <v>0</v>
      </c>
      <c r="AA214" s="137"/>
    </row>
    <row r="215" spans="1:27" ht="15.75" outlineLevel="1" x14ac:dyDescent="0.25">
      <c r="A215" s="177" t="s">
        <v>254</v>
      </c>
      <c r="B215" s="167" t="s">
        <v>826</v>
      </c>
      <c r="C215" s="168" t="s">
        <v>98</v>
      </c>
      <c r="D215" s="168">
        <v>0</v>
      </c>
      <c r="E215" s="168">
        <v>0</v>
      </c>
      <c r="F215" s="168"/>
      <c r="G215" s="168"/>
      <c r="H215" s="168"/>
      <c r="I215" s="168"/>
      <c r="J215" s="168"/>
      <c r="K215" s="168"/>
      <c r="L215" s="168"/>
      <c r="M215" s="168"/>
      <c r="N215" s="168">
        <v>0</v>
      </c>
      <c r="O215" s="168">
        <v>0</v>
      </c>
      <c r="P215" s="168">
        <v>0</v>
      </c>
      <c r="Q215" s="168">
        <v>0</v>
      </c>
      <c r="R215" s="168">
        <v>0</v>
      </c>
      <c r="S215" s="168">
        <v>13</v>
      </c>
      <c r="T215" s="169">
        <f t="shared" si="105"/>
        <v>13</v>
      </c>
      <c r="U215" s="170">
        <v>0</v>
      </c>
      <c r="V215" s="170">
        <v>0</v>
      </c>
      <c r="W215" s="171">
        <f t="shared" si="110"/>
        <v>0</v>
      </c>
      <c r="X215" s="171">
        <f t="shared" si="111"/>
        <v>0</v>
      </c>
      <c r="Y215" s="171">
        <f t="shared" si="112"/>
        <v>0</v>
      </c>
      <c r="Z215" s="171">
        <f t="shared" si="113"/>
        <v>0</v>
      </c>
      <c r="AA215" s="137"/>
    </row>
    <row r="216" spans="1:27" ht="15.75" outlineLevel="1" x14ac:dyDescent="0.25">
      <c r="A216" s="177" t="s">
        <v>256</v>
      </c>
      <c r="B216" s="167" t="s">
        <v>527</v>
      </c>
      <c r="C216" s="168" t="s">
        <v>98</v>
      </c>
      <c r="D216" s="168">
        <v>0</v>
      </c>
      <c r="E216" s="168">
        <v>0</v>
      </c>
      <c r="F216" s="168"/>
      <c r="G216" s="168"/>
      <c r="H216" s="168"/>
      <c r="I216" s="168">
        <v>5</v>
      </c>
      <c r="J216" s="168">
        <v>11</v>
      </c>
      <c r="K216" s="168"/>
      <c r="L216" s="168"/>
      <c r="M216" s="168"/>
      <c r="N216" s="168">
        <v>0</v>
      </c>
      <c r="O216" s="168">
        <v>0</v>
      </c>
      <c r="P216" s="168">
        <v>0</v>
      </c>
      <c r="Q216" s="168">
        <v>0</v>
      </c>
      <c r="R216" s="168">
        <v>0</v>
      </c>
      <c r="S216" s="168">
        <v>5</v>
      </c>
      <c r="T216" s="169">
        <f t="shared" si="105"/>
        <v>21</v>
      </c>
      <c r="U216" s="170">
        <v>0</v>
      </c>
      <c r="V216" s="170">
        <v>0</v>
      </c>
      <c r="W216" s="171">
        <f t="shared" si="110"/>
        <v>0</v>
      </c>
      <c r="X216" s="171">
        <f t="shared" si="111"/>
        <v>0</v>
      </c>
      <c r="Y216" s="171">
        <f t="shared" si="112"/>
        <v>0</v>
      </c>
      <c r="Z216" s="171">
        <f t="shared" si="113"/>
        <v>0</v>
      </c>
      <c r="AA216" s="137"/>
    </row>
    <row r="217" spans="1:27" ht="15.75" outlineLevel="1" x14ac:dyDescent="0.25">
      <c r="A217" s="177" t="s">
        <v>258</v>
      </c>
      <c r="B217" s="167" t="s">
        <v>271</v>
      </c>
      <c r="C217" s="168" t="s">
        <v>98</v>
      </c>
      <c r="D217" s="168">
        <v>0</v>
      </c>
      <c r="E217" s="168">
        <v>0</v>
      </c>
      <c r="F217" s="168"/>
      <c r="G217" s="168"/>
      <c r="H217" s="168"/>
      <c r="I217" s="168"/>
      <c r="J217" s="168"/>
      <c r="K217" s="168"/>
      <c r="L217" s="168"/>
      <c r="M217" s="168"/>
      <c r="N217" s="168">
        <v>14</v>
      </c>
      <c r="O217" s="168">
        <v>6</v>
      </c>
      <c r="P217" s="168">
        <v>0</v>
      </c>
      <c r="Q217" s="168">
        <v>0</v>
      </c>
      <c r="R217" s="168">
        <v>0</v>
      </c>
      <c r="S217" s="168">
        <v>0</v>
      </c>
      <c r="T217" s="169">
        <f t="shared" si="105"/>
        <v>20</v>
      </c>
      <c r="U217" s="170">
        <v>0</v>
      </c>
      <c r="V217" s="170">
        <v>0</v>
      </c>
      <c r="W217" s="171">
        <f t="shared" si="110"/>
        <v>0</v>
      </c>
      <c r="X217" s="171">
        <f t="shared" si="111"/>
        <v>0</v>
      </c>
      <c r="Y217" s="171">
        <f t="shared" si="112"/>
        <v>0</v>
      </c>
      <c r="Z217" s="171">
        <f t="shared" si="113"/>
        <v>0</v>
      </c>
      <c r="AA217" s="137"/>
    </row>
    <row r="218" spans="1:27" ht="15.75" outlineLevel="1" x14ac:dyDescent="0.25">
      <c r="A218" s="177" t="s">
        <v>259</v>
      </c>
      <c r="B218" s="167" t="s">
        <v>682</v>
      </c>
      <c r="C218" s="168" t="s">
        <v>98</v>
      </c>
      <c r="D218" s="168">
        <v>1</v>
      </c>
      <c r="E218" s="168">
        <v>1</v>
      </c>
      <c r="F218" s="168"/>
      <c r="G218" s="168"/>
      <c r="H218" s="168"/>
      <c r="I218" s="168"/>
      <c r="J218" s="168"/>
      <c r="K218" s="168"/>
      <c r="L218" s="168"/>
      <c r="M218" s="168">
        <v>5</v>
      </c>
      <c r="N218" s="168">
        <v>0</v>
      </c>
      <c r="O218" s="168">
        <v>0</v>
      </c>
      <c r="P218" s="168">
        <v>0</v>
      </c>
      <c r="Q218" s="168">
        <v>0</v>
      </c>
      <c r="R218" s="168">
        <v>0</v>
      </c>
      <c r="S218" s="168">
        <v>0</v>
      </c>
      <c r="T218" s="169">
        <f t="shared" si="105"/>
        <v>7</v>
      </c>
      <c r="U218" s="170">
        <v>0</v>
      </c>
      <c r="V218" s="170">
        <v>0</v>
      </c>
      <c r="W218" s="171">
        <f t="shared" si="110"/>
        <v>0</v>
      </c>
      <c r="X218" s="171">
        <f t="shared" si="111"/>
        <v>0</v>
      </c>
      <c r="Y218" s="171">
        <f t="shared" si="112"/>
        <v>0</v>
      </c>
      <c r="Z218" s="171">
        <f t="shared" si="113"/>
        <v>0</v>
      </c>
      <c r="AA218" s="137"/>
    </row>
    <row r="219" spans="1:27" ht="15.75" outlineLevel="1" x14ac:dyDescent="0.25">
      <c r="A219" s="177" t="s">
        <v>260</v>
      </c>
      <c r="B219" s="167" t="s">
        <v>528</v>
      </c>
      <c r="C219" s="168" t="s">
        <v>98</v>
      </c>
      <c r="D219" s="168">
        <v>0</v>
      </c>
      <c r="E219" s="168">
        <v>0</v>
      </c>
      <c r="F219" s="168"/>
      <c r="G219" s="168"/>
      <c r="H219" s="168"/>
      <c r="I219" s="168"/>
      <c r="J219" s="168"/>
      <c r="K219" s="168"/>
      <c r="L219" s="168"/>
      <c r="M219" s="168"/>
      <c r="N219" s="168">
        <v>0</v>
      </c>
      <c r="O219" s="168">
        <v>0</v>
      </c>
      <c r="P219" s="168">
        <v>1</v>
      </c>
      <c r="Q219" s="168">
        <v>0</v>
      </c>
      <c r="R219" s="168">
        <v>2</v>
      </c>
      <c r="S219" s="168">
        <v>0</v>
      </c>
      <c r="T219" s="169">
        <f t="shared" si="105"/>
        <v>3</v>
      </c>
      <c r="U219" s="170">
        <v>0</v>
      </c>
      <c r="V219" s="170">
        <v>0</v>
      </c>
      <c r="W219" s="171">
        <f t="shared" si="110"/>
        <v>0</v>
      </c>
      <c r="X219" s="171">
        <f t="shared" si="111"/>
        <v>0</v>
      </c>
      <c r="Y219" s="171">
        <f t="shared" si="112"/>
        <v>0</v>
      </c>
      <c r="Z219" s="171">
        <f t="shared" si="113"/>
        <v>0</v>
      </c>
      <c r="AA219" s="137"/>
    </row>
    <row r="220" spans="1:27" ht="15.75" outlineLevel="1" x14ac:dyDescent="0.25">
      <c r="A220" s="177" t="s">
        <v>262</v>
      </c>
      <c r="B220" s="167" t="s">
        <v>746</v>
      </c>
      <c r="C220" s="168" t="s">
        <v>98</v>
      </c>
      <c r="D220" s="168">
        <v>8</v>
      </c>
      <c r="E220" s="168">
        <v>0</v>
      </c>
      <c r="F220" s="168"/>
      <c r="G220" s="168"/>
      <c r="H220" s="168"/>
      <c r="I220" s="168"/>
      <c r="J220" s="168"/>
      <c r="K220" s="168"/>
      <c r="L220" s="168"/>
      <c r="M220" s="168"/>
      <c r="N220" s="168">
        <v>0</v>
      </c>
      <c r="O220" s="168">
        <v>0</v>
      </c>
      <c r="P220" s="168">
        <v>0</v>
      </c>
      <c r="Q220" s="168">
        <v>0</v>
      </c>
      <c r="R220" s="168">
        <v>0</v>
      </c>
      <c r="S220" s="168">
        <v>0</v>
      </c>
      <c r="T220" s="169">
        <f t="shared" si="105"/>
        <v>8</v>
      </c>
      <c r="U220" s="170">
        <v>0</v>
      </c>
      <c r="V220" s="170">
        <v>0</v>
      </c>
      <c r="W220" s="171">
        <f t="shared" si="110"/>
        <v>0</v>
      </c>
      <c r="X220" s="171">
        <f t="shared" si="111"/>
        <v>0</v>
      </c>
      <c r="Y220" s="171">
        <f t="shared" si="112"/>
        <v>0</v>
      </c>
      <c r="Z220" s="171">
        <f t="shared" si="113"/>
        <v>0</v>
      </c>
      <c r="AA220" s="137"/>
    </row>
    <row r="221" spans="1:27" ht="15.75" outlineLevel="1" x14ac:dyDescent="0.25">
      <c r="A221" s="177" t="s">
        <v>264</v>
      </c>
      <c r="B221" s="167" t="s">
        <v>666</v>
      </c>
      <c r="C221" s="168" t="s">
        <v>98</v>
      </c>
      <c r="D221" s="168">
        <v>0</v>
      </c>
      <c r="E221" s="168">
        <v>0</v>
      </c>
      <c r="F221" s="168"/>
      <c r="G221" s="168"/>
      <c r="H221" s="168"/>
      <c r="I221" s="168"/>
      <c r="J221" s="168"/>
      <c r="K221" s="168">
        <v>4</v>
      </c>
      <c r="L221" s="168"/>
      <c r="M221" s="168"/>
      <c r="N221" s="168">
        <v>0</v>
      </c>
      <c r="O221" s="168">
        <v>0</v>
      </c>
      <c r="P221" s="168">
        <v>0</v>
      </c>
      <c r="Q221" s="168">
        <v>0</v>
      </c>
      <c r="R221" s="168">
        <v>0</v>
      </c>
      <c r="S221" s="168">
        <v>0</v>
      </c>
      <c r="T221" s="169">
        <f t="shared" si="105"/>
        <v>4</v>
      </c>
      <c r="U221" s="170">
        <v>0</v>
      </c>
      <c r="V221" s="170">
        <v>0</v>
      </c>
      <c r="W221" s="171">
        <f t="shared" si="110"/>
        <v>0</v>
      </c>
      <c r="X221" s="171">
        <f t="shared" si="111"/>
        <v>0</v>
      </c>
      <c r="Y221" s="171">
        <f t="shared" si="112"/>
        <v>0</v>
      </c>
      <c r="Z221" s="171">
        <f t="shared" si="113"/>
        <v>0</v>
      </c>
      <c r="AA221" s="137"/>
    </row>
    <row r="222" spans="1:27" ht="15.75" outlineLevel="1" x14ac:dyDescent="0.25">
      <c r="A222" s="177" t="s">
        <v>266</v>
      </c>
      <c r="B222" s="167" t="s">
        <v>273</v>
      </c>
      <c r="C222" s="168" t="s">
        <v>98</v>
      </c>
      <c r="D222" s="168">
        <v>0</v>
      </c>
      <c r="E222" s="168">
        <v>0</v>
      </c>
      <c r="F222" s="168"/>
      <c r="G222" s="168"/>
      <c r="H222" s="168"/>
      <c r="I222" s="168"/>
      <c r="J222" s="168"/>
      <c r="K222" s="168"/>
      <c r="L222" s="168">
        <v>12</v>
      </c>
      <c r="M222" s="168">
        <v>5</v>
      </c>
      <c r="N222" s="168">
        <v>0</v>
      </c>
      <c r="O222" s="168">
        <v>0</v>
      </c>
      <c r="P222" s="168">
        <v>0</v>
      </c>
      <c r="Q222" s="168">
        <v>0</v>
      </c>
      <c r="R222" s="168">
        <v>0</v>
      </c>
      <c r="S222" s="168">
        <v>0</v>
      </c>
      <c r="T222" s="169">
        <f t="shared" si="105"/>
        <v>17</v>
      </c>
      <c r="U222" s="170">
        <v>0</v>
      </c>
      <c r="V222" s="170">
        <v>0</v>
      </c>
      <c r="W222" s="171">
        <f t="shared" si="110"/>
        <v>0</v>
      </c>
      <c r="X222" s="171">
        <f t="shared" si="111"/>
        <v>0</v>
      </c>
      <c r="Y222" s="171">
        <f t="shared" si="112"/>
        <v>0</v>
      </c>
      <c r="Z222" s="171">
        <f t="shared" si="113"/>
        <v>0</v>
      </c>
      <c r="AA222" s="137"/>
    </row>
    <row r="223" spans="1:27" ht="15.75" outlineLevel="1" x14ac:dyDescent="0.25">
      <c r="A223" s="177" t="s">
        <v>267</v>
      </c>
      <c r="B223" s="167" t="s">
        <v>277</v>
      </c>
      <c r="C223" s="168" t="s">
        <v>98</v>
      </c>
      <c r="D223" s="168">
        <v>0</v>
      </c>
      <c r="E223" s="168">
        <v>0</v>
      </c>
      <c r="F223" s="168"/>
      <c r="G223" s="168">
        <v>1</v>
      </c>
      <c r="H223" s="168"/>
      <c r="I223" s="168"/>
      <c r="J223" s="168"/>
      <c r="K223" s="168"/>
      <c r="L223" s="168"/>
      <c r="M223" s="168"/>
      <c r="N223" s="168">
        <v>0</v>
      </c>
      <c r="O223" s="168">
        <v>0</v>
      </c>
      <c r="P223" s="168">
        <v>0</v>
      </c>
      <c r="Q223" s="168">
        <v>0</v>
      </c>
      <c r="R223" s="168">
        <v>0</v>
      </c>
      <c r="S223" s="168">
        <v>0</v>
      </c>
      <c r="T223" s="169">
        <f t="shared" si="105"/>
        <v>1</v>
      </c>
      <c r="U223" s="170">
        <v>0</v>
      </c>
      <c r="V223" s="170">
        <v>0</v>
      </c>
      <c r="W223" s="171">
        <f t="shared" si="110"/>
        <v>0</v>
      </c>
      <c r="X223" s="171">
        <f t="shared" si="111"/>
        <v>0</v>
      </c>
      <c r="Y223" s="171">
        <f t="shared" si="112"/>
        <v>0</v>
      </c>
      <c r="Z223" s="171">
        <f t="shared" si="113"/>
        <v>0</v>
      </c>
      <c r="AA223" s="137"/>
    </row>
    <row r="224" spans="1:27" ht="15.75" outlineLevel="1" x14ac:dyDescent="0.25">
      <c r="A224" s="177" t="s">
        <v>268</v>
      </c>
      <c r="B224" s="167" t="s">
        <v>767</v>
      </c>
      <c r="C224" s="168" t="s">
        <v>98</v>
      </c>
      <c r="D224" s="168">
        <v>0</v>
      </c>
      <c r="E224" s="168">
        <v>0</v>
      </c>
      <c r="F224" s="168"/>
      <c r="G224" s="168"/>
      <c r="H224" s="168"/>
      <c r="I224" s="168"/>
      <c r="J224" s="168"/>
      <c r="K224" s="168"/>
      <c r="L224" s="168"/>
      <c r="M224" s="168"/>
      <c r="N224" s="168">
        <v>2</v>
      </c>
      <c r="O224" s="168">
        <v>0</v>
      </c>
      <c r="P224" s="168">
        <v>0</v>
      </c>
      <c r="Q224" s="168">
        <v>0</v>
      </c>
      <c r="R224" s="168">
        <v>0</v>
      </c>
      <c r="S224" s="168">
        <v>0</v>
      </c>
      <c r="T224" s="169">
        <f t="shared" si="105"/>
        <v>2</v>
      </c>
      <c r="U224" s="170">
        <v>0</v>
      </c>
      <c r="V224" s="170">
        <v>0</v>
      </c>
      <c r="W224" s="171">
        <f t="shared" si="110"/>
        <v>0</v>
      </c>
      <c r="X224" s="171">
        <f t="shared" si="111"/>
        <v>0</v>
      </c>
      <c r="Y224" s="171">
        <f t="shared" si="112"/>
        <v>0</v>
      </c>
      <c r="Z224" s="171">
        <f t="shared" si="113"/>
        <v>0</v>
      </c>
      <c r="AA224" s="137"/>
    </row>
    <row r="225" spans="1:27" ht="15.75" outlineLevel="1" x14ac:dyDescent="0.25">
      <c r="A225" s="177" t="s">
        <v>270</v>
      </c>
      <c r="B225" s="167" t="s">
        <v>281</v>
      </c>
      <c r="C225" s="168" t="s">
        <v>98</v>
      </c>
      <c r="D225" s="168">
        <v>0</v>
      </c>
      <c r="E225" s="168">
        <v>0</v>
      </c>
      <c r="F225" s="168"/>
      <c r="G225" s="168"/>
      <c r="H225" s="168"/>
      <c r="I225" s="168"/>
      <c r="J225" s="168"/>
      <c r="K225" s="168"/>
      <c r="L225" s="168">
        <v>4</v>
      </c>
      <c r="M225" s="168"/>
      <c r="N225" s="168">
        <v>0</v>
      </c>
      <c r="O225" s="168">
        <v>0</v>
      </c>
      <c r="P225" s="168">
        <v>0</v>
      </c>
      <c r="Q225" s="168">
        <v>0</v>
      </c>
      <c r="R225" s="168">
        <v>0</v>
      </c>
      <c r="S225" s="168">
        <v>0</v>
      </c>
      <c r="T225" s="169">
        <f t="shared" si="105"/>
        <v>4</v>
      </c>
      <c r="U225" s="170">
        <v>0</v>
      </c>
      <c r="V225" s="170">
        <v>0</v>
      </c>
      <c r="W225" s="171">
        <f t="shared" si="110"/>
        <v>0</v>
      </c>
      <c r="X225" s="171">
        <f t="shared" si="111"/>
        <v>0</v>
      </c>
      <c r="Y225" s="171">
        <f t="shared" si="112"/>
        <v>0</v>
      </c>
      <c r="Z225" s="171">
        <f t="shared" si="113"/>
        <v>0</v>
      </c>
      <c r="AA225" s="137"/>
    </row>
    <row r="226" spans="1:27" ht="15.75" outlineLevel="1" x14ac:dyDescent="0.25">
      <c r="A226" s="177" t="s">
        <v>272</v>
      </c>
      <c r="B226" s="167" t="s">
        <v>662</v>
      </c>
      <c r="C226" s="168" t="s">
        <v>98</v>
      </c>
      <c r="D226" s="168">
        <v>0</v>
      </c>
      <c r="E226" s="168">
        <v>0</v>
      </c>
      <c r="F226" s="168"/>
      <c r="G226" s="168"/>
      <c r="H226" s="168"/>
      <c r="I226" s="168">
        <v>1</v>
      </c>
      <c r="J226" s="168">
        <v>1</v>
      </c>
      <c r="K226" s="168">
        <v>1</v>
      </c>
      <c r="L226" s="168"/>
      <c r="M226" s="168"/>
      <c r="N226" s="168">
        <v>0</v>
      </c>
      <c r="O226" s="168">
        <v>0</v>
      </c>
      <c r="P226" s="168">
        <v>0</v>
      </c>
      <c r="Q226" s="168">
        <v>0</v>
      </c>
      <c r="R226" s="168">
        <v>0</v>
      </c>
      <c r="S226" s="168">
        <v>0</v>
      </c>
      <c r="T226" s="169">
        <f t="shared" si="105"/>
        <v>3</v>
      </c>
      <c r="U226" s="170">
        <v>0</v>
      </c>
      <c r="V226" s="170">
        <v>0</v>
      </c>
      <c r="W226" s="171">
        <f t="shared" si="110"/>
        <v>0</v>
      </c>
      <c r="X226" s="171">
        <f t="shared" si="111"/>
        <v>0</v>
      </c>
      <c r="Y226" s="171">
        <f t="shared" si="112"/>
        <v>0</v>
      </c>
      <c r="Z226" s="171">
        <f t="shared" si="113"/>
        <v>0</v>
      </c>
      <c r="AA226" s="137"/>
    </row>
    <row r="227" spans="1:27" ht="15.75" outlineLevel="1" x14ac:dyDescent="0.25">
      <c r="A227" s="177" t="s">
        <v>274</v>
      </c>
      <c r="B227" s="167" t="s">
        <v>747</v>
      </c>
      <c r="C227" s="168" t="s">
        <v>98</v>
      </c>
      <c r="D227" s="168">
        <v>2</v>
      </c>
      <c r="E227" s="168">
        <v>0</v>
      </c>
      <c r="F227" s="168"/>
      <c r="G227" s="168"/>
      <c r="H227" s="168"/>
      <c r="I227" s="168"/>
      <c r="J227" s="168"/>
      <c r="K227" s="168"/>
      <c r="L227" s="168"/>
      <c r="M227" s="168"/>
      <c r="N227" s="168">
        <v>0</v>
      </c>
      <c r="O227" s="168">
        <v>0</v>
      </c>
      <c r="P227" s="168">
        <v>0</v>
      </c>
      <c r="Q227" s="168">
        <v>0</v>
      </c>
      <c r="R227" s="168">
        <v>0</v>
      </c>
      <c r="S227" s="168">
        <v>0</v>
      </c>
      <c r="T227" s="169">
        <f t="shared" si="105"/>
        <v>2</v>
      </c>
      <c r="U227" s="170">
        <v>0</v>
      </c>
      <c r="V227" s="170">
        <v>0</v>
      </c>
      <c r="W227" s="171">
        <f t="shared" si="110"/>
        <v>0</v>
      </c>
      <c r="X227" s="171">
        <f t="shared" si="111"/>
        <v>0</v>
      </c>
      <c r="Y227" s="171">
        <f t="shared" si="112"/>
        <v>0</v>
      </c>
      <c r="Z227" s="171">
        <f t="shared" si="113"/>
        <v>0</v>
      </c>
      <c r="AA227" s="137"/>
    </row>
    <row r="228" spans="1:27" ht="15.75" outlineLevel="1" x14ac:dyDescent="0.25">
      <c r="A228" s="177" t="s">
        <v>275</v>
      </c>
      <c r="B228" s="167" t="s">
        <v>768</v>
      </c>
      <c r="C228" s="168" t="s">
        <v>98</v>
      </c>
      <c r="D228" s="168">
        <v>0</v>
      </c>
      <c r="E228" s="168">
        <v>0</v>
      </c>
      <c r="F228" s="168"/>
      <c r="G228" s="168"/>
      <c r="H228" s="168"/>
      <c r="I228" s="168"/>
      <c r="J228" s="168"/>
      <c r="K228" s="168"/>
      <c r="L228" s="168"/>
      <c r="M228" s="168"/>
      <c r="N228" s="168">
        <v>14</v>
      </c>
      <c r="O228" s="168">
        <v>30</v>
      </c>
      <c r="P228" s="168">
        <v>0</v>
      </c>
      <c r="Q228" s="168">
        <v>0</v>
      </c>
      <c r="R228" s="168">
        <v>0</v>
      </c>
      <c r="S228" s="168">
        <v>0</v>
      </c>
      <c r="T228" s="169">
        <f t="shared" si="105"/>
        <v>44</v>
      </c>
      <c r="U228" s="170">
        <v>0</v>
      </c>
      <c r="V228" s="170">
        <v>0</v>
      </c>
      <c r="W228" s="171">
        <f t="shared" si="110"/>
        <v>0</v>
      </c>
      <c r="X228" s="171">
        <f t="shared" si="111"/>
        <v>0</v>
      </c>
      <c r="Y228" s="171">
        <f t="shared" si="112"/>
        <v>0</v>
      </c>
      <c r="Z228" s="171">
        <f t="shared" si="113"/>
        <v>0</v>
      </c>
      <c r="AA228" s="137"/>
    </row>
    <row r="229" spans="1:27" ht="15.75" outlineLevel="1" x14ac:dyDescent="0.25">
      <c r="A229" s="177" t="s">
        <v>276</v>
      </c>
      <c r="B229" s="167" t="s">
        <v>663</v>
      </c>
      <c r="C229" s="168" t="s">
        <v>98</v>
      </c>
      <c r="D229" s="168">
        <v>0</v>
      </c>
      <c r="E229" s="168">
        <v>0</v>
      </c>
      <c r="F229" s="168"/>
      <c r="G229" s="168"/>
      <c r="H229" s="168"/>
      <c r="I229" s="168">
        <v>4</v>
      </c>
      <c r="J229" s="168"/>
      <c r="K229" s="168">
        <v>7</v>
      </c>
      <c r="L229" s="168">
        <v>2</v>
      </c>
      <c r="M229" s="168"/>
      <c r="N229" s="168">
        <v>0</v>
      </c>
      <c r="O229" s="168">
        <v>0</v>
      </c>
      <c r="P229" s="168">
        <v>0</v>
      </c>
      <c r="Q229" s="168">
        <v>0</v>
      </c>
      <c r="R229" s="168">
        <v>0</v>
      </c>
      <c r="S229" s="168">
        <v>0</v>
      </c>
      <c r="T229" s="169">
        <f t="shared" si="105"/>
        <v>13</v>
      </c>
      <c r="U229" s="170">
        <v>0</v>
      </c>
      <c r="V229" s="170">
        <v>0</v>
      </c>
      <c r="W229" s="171">
        <f t="shared" si="110"/>
        <v>0</v>
      </c>
      <c r="X229" s="171">
        <f t="shared" si="111"/>
        <v>0</v>
      </c>
      <c r="Y229" s="171">
        <f t="shared" si="112"/>
        <v>0</v>
      </c>
      <c r="Z229" s="171">
        <f t="shared" si="113"/>
        <v>0</v>
      </c>
      <c r="AA229" s="137"/>
    </row>
    <row r="230" spans="1:27" ht="31.5" outlineLevel="1" x14ac:dyDescent="0.25">
      <c r="A230" s="177" t="s">
        <v>278</v>
      </c>
      <c r="B230" s="167" t="s">
        <v>664</v>
      </c>
      <c r="C230" s="168" t="s">
        <v>98</v>
      </c>
      <c r="D230" s="168">
        <v>0</v>
      </c>
      <c r="E230" s="168">
        <v>0</v>
      </c>
      <c r="F230" s="168"/>
      <c r="G230" s="168"/>
      <c r="H230" s="168"/>
      <c r="I230" s="168">
        <v>1</v>
      </c>
      <c r="J230" s="168"/>
      <c r="K230" s="168"/>
      <c r="L230" s="168"/>
      <c r="M230" s="168">
        <v>1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0</v>
      </c>
      <c r="T230" s="169">
        <f t="shared" si="105"/>
        <v>2</v>
      </c>
      <c r="U230" s="170">
        <v>0</v>
      </c>
      <c r="V230" s="170">
        <v>0</v>
      </c>
      <c r="W230" s="171">
        <f t="shared" si="110"/>
        <v>0</v>
      </c>
      <c r="X230" s="171">
        <f t="shared" si="111"/>
        <v>0</v>
      </c>
      <c r="Y230" s="171">
        <f t="shared" si="112"/>
        <v>0</v>
      </c>
      <c r="Z230" s="171">
        <f t="shared" si="113"/>
        <v>0</v>
      </c>
      <c r="AA230" s="137"/>
    </row>
    <row r="231" spans="1:27" ht="31.5" outlineLevel="1" x14ac:dyDescent="0.25">
      <c r="A231" s="177" t="s">
        <v>280</v>
      </c>
      <c r="B231" s="167" t="s">
        <v>665</v>
      </c>
      <c r="C231" s="168" t="s">
        <v>98</v>
      </c>
      <c r="D231" s="168">
        <v>0</v>
      </c>
      <c r="E231" s="168">
        <v>0</v>
      </c>
      <c r="F231" s="168"/>
      <c r="G231" s="168"/>
      <c r="H231" s="168"/>
      <c r="I231" s="168">
        <v>1</v>
      </c>
      <c r="J231" s="168"/>
      <c r="K231" s="168"/>
      <c r="L231" s="168"/>
      <c r="M231" s="168"/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  <c r="T231" s="169">
        <f t="shared" si="105"/>
        <v>1</v>
      </c>
      <c r="U231" s="170">
        <v>0</v>
      </c>
      <c r="V231" s="170">
        <v>0</v>
      </c>
      <c r="W231" s="171">
        <f t="shared" si="110"/>
        <v>0</v>
      </c>
      <c r="X231" s="171">
        <f t="shared" si="111"/>
        <v>0</v>
      </c>
      <c r="Y231" s="171">
        <f t="shared" si="112"/>
        <v>0</v>
      </c>
      <c r="Z231" s="171">
        <f t="shared" si="113"/>
        <v>0</v>
      </c>
      <c r="AA231" s="137"/>
    </row>
    <row r="232" spans="1:27" s="130" customFormat="1" ht="15.75" x14ac:dyDescent="0.25">
      <c r="A232" s="160" t="s">
        <v>288</v>
      </c>
      <c r="B232" s="161" t="s">
        <v>289</v>
      </c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73"/>
      <c r="V232" s="173"/>
      <c r="W232" s="173"/>
      <c r="X232" s="205">
        <f>SUBTOTAL(9,X234:X259)</f>
        <v>0</v>
      </c>
      <c r="Y232" s="205">
        <f t="shared" ref="Y232:Z232" si="114">SUBTOTAL(9,Y234:Y259)</f>
        <v>0</v>
      </c>
      <c r="Z232" s="205">
        <f t="shared" si="114"/>
        <v>0</v>
      </c>
      <c r="AA232" s="136"/>
    </row>
    <row r="233" spans="1:27" s="130" customFormat="1" ht="15.75" outlineLevel="1" x14ac:dyDescent="0.25">
      <c r="A233" s="183" t="s">
        <v>290</v>
      </c>
      <c r="B233" s="167" t="s">
        <v>291</v>
      </c>
      <c r="C233" s="168" t="s">
        <v>98</v>
      </c>
      <c r="D233" s="270">
        <v>196</v>
      </c>
      <c r="E233" s="271"/>
      <c r="F233" s="168">
        <v>60</v>
      </c>
      <c r="G233" s="270">
        <v>324</v>
      </c>
      <c r="H233" s="271"/>
      <c r="I233" s="270">
        <v>538</v>
      </c>
      <c r="J233" s="277"/>
      <c r="K233" s="271"/>
      <c r="L233" s="270">
        <v>422</v>
      </c>
      <c r="M233" s="271"/>
      <c r="N233" s="270">
        <v>336</v>
      </c>
      <c r="O233" s="271"/>
      <c r="P233" s="168">
        <v>72</v>
      </c>
      <c r="Q233" s="270">
        <v>526</v>
      </c>
      <c r="R233" s="271"/>
      <c r="S233" s="168">
        <v>142</v>
      </c>
      <c r="T233" s="169">
        <f t="shared" si="105"/>
        <v>2616</v>
      </c>
      <c r="U233" s="170">
        <v>0</v>
      </c>
      <c r="V233" s="170">
        <v>0</v>
      </c>
      <c r="W233" s="171">
        <f t="shared" ref="W233" si="115">V233+U233</f>
        <v>0</v>
      </c>
      <c r="X233" s="171">
        <f t="shared" ref="X233" si="116">$T233*U233</f>
        <v>0</v>
      </c>
      <c r="Y233" s="171">
        <f t="shared" ref="Y233" si="117">$T233*V233</f>
        <v>0</v>
      </c>
      <c r="Z233" s="171">
        <f t="shared" ref="Z233" si="118">Y233+X233</f>
        <v>0</v>
      </c>
      <c r="AA233" s="141"/>
    </row>
    <row r="234" spans="1:27" s="130" customFormat="1" ht="15.75" outlineLevel="1" x14ac:dyDescent="0.25">
      <c r="A234" s="183" t="s">
        <v>292</v>
      </c>
      <c r="B234" s="167" t="s">
        <v>293</v>
      </c>
      <c r="C234" s="168" t="s">
        <v>98</v>
      </c>
      <c r="D234" s="270">
        <v>0</v>
      </c>
      <c r="E234" s="271"/>
      <c r="F234" s="168"/>
      <c r="G234" s="270">
        <v>6</v>
      </c>
      <c r="H234" s="271"/>
      <c r="I234" s="270">
        <v>28</v>
      </c>
      <c r="J234" s="277"/>
      <c r="K234" s="271"/>
      <c r="L234" s="270">
        <v>14</v>
      </c>
      <c r="M234" s="271"/>
      <c r="N234" s="270">
        <v>12</v>
      </c>
      <c r="O234" s="271"/>
      <c r="P234" s="168">
        <v>0</v>
      </c>
      <c r="Q234" s="270">
        <v>18</v>
      </c>
      <c r="R234" s="271"/>
      <c r="S234" s="178">
        <v>0</v>
      </c>
      <c r="T234" s="169">
        <f t="shared" si="105"/>
        <v>78</v>
      </c>
      <c r="U234" s="170">
        <v>0</v>
      </c>
      <c r="V234" s="170">
        <v>0</v>
      </c>
      <c r="W234" s="171">
        <f t="shared" ref="W234:W259" si="119">V234+U234</f>
        <v>0</v>
      </c>
      <c r="X234" s="171">
        <f t="shared" ref="X234:X259" si="120">$T234*U234</f>
        <v>0</v>
      </c>
      <c r="Y234" s="171">
        <f t="shared" ref="Y234:Y259" si="121">$T234*V234</f>
        <v>0</v>
      </c>
      <c r="Z234" s="171">
        <f t="shared" ref="Z234:Z259" si="122">Y234+X234</f>
        <v>0</v>
      </c>
      <c r="AA234" s="141"/>
    </row>
    <row r="235" spans="1:27" s="130" customFormat="1" ht="15.75" outlineLevel="1" x14ac:dyDescent="0.25">
      <c r="A235" s="183" t="s">
        <v>294</v>
      </c>
      <c r="B235" s="167" t="s">
        <v>297</v>
      </c>
      <c r="C235" s="168" t="s">
        <v>98</v>
      </c>
      <c r="D235" s="270">
        <v>44</v>
      </c>
      <c r="E235" s="271"/>
      <c r="F235" s="168">
        <v>12</v>
      </c>
      <c r="G235" s="270">
        <v>64</v>
      </c>
      <c r="H235" s="271"/>
      <c r="I235" s="270">
        <v>26</v>
      </c>
      <c r="J235" s="277"/>
      <c r="K235" s="271"/>
      <c r="L235" s="270">
        <v>8</v>
      </c>
      <c r="M235" s="271"/>
      <c r="N235" s="270">
        <v>24</v>
      </c>
      <c r="O235" s="271"/>
      <c r="P235" s="168">
        <v>8</v>
      </c>
      <c r="Q235" s="270">
        <v>36</v>
      </c>
      <c r="R235" s="271"/>
      <c r="S235" s="178">
        <v>20</v>
      </c>
      <c r="T235" s="169">
        <f t="shared" si="105"/>
        <v>242</v>
      </c>
      <c r="U235" s="170">
        <v>0</v>
      </c>
      <c r="V235" s="170">
        <v>0</v>
      </c>
      <c r="W235" s="171">
        <f t="shared" si="119"/>
        <v>0</v>
      </c>
      <c r="X235" s="171">
        <f t="shared" si="120"/>
        <v>0</v>
      </c>
      <c r="Y235" s="171">
        <f t="shared" si="121"/>
        <v>0</v>
      </c>
      <c r="Z235" s="171">
        <f t="shared" si="122"/>
        <v>0</v>
      </c>
      <c r="AA235" s="141"/>
    </row>
    <row r="236" spans="1:27" s="130" customFormat="1" ht="15.75" outlineLevel="1" x14ac:dyDescent="0.25">
      <c r="A236" s="183" t="s">
        <v>296</v>
      </c>
      <c r="B236" s="167" t="s">
        <v>781</v>
      </c>
      <c r="C236" s="168" t="s">
        <v>98</v>
      </c>
      <c r="D236" s="270">
        <v>0</v>
      </c>
      <c r="E236" s="271"/>
      <c r="F236" s="168"/>
      <c r="G236" s="270"/>
      <c r="H236" s="271"/>
      <c r="I236" s="270"/>
      <c r="J236" s="277"/>
      <c r="K236" s="271"/>
      <c r="L236" s="270"/>
      <c r="M236" s="271"/>
      <c r="N236" s="270">
        <v>312</v>
      </c>
      <c r="O236" s="271"/>
      <c r="P236" s="168">
        <v>0</v>
      </c>
      <c r="Q236" s="270">
        <v>0</v>
      </c>
      <c r="R236" s="271"/>
      <c r="S236" s="178">
        <v>0</v>
      </c>
      <c r="T236" s="169">
        <f t="shared" si="105"/>
        <v>312</v>
      </c>
      <c r="U236" s="170">
        <v>0</v>
      </c>
      <c r="V236" s="170">
        <v>0</v>
      </c>
      <c r="W236" s="171">
        <f t="shared" si="119"/>
        <v>0</v>
      </c>
      <c r="X236" s="171">
        <f t="shared" si="120"/>
        <v>0</v>
      </c>
      <c r="Y236" s="171">
        <f t="shared" si="121"/>
        <v>0</v>
      </c>
      <c r="Z236" s="171">
        <f t="shared" si="122"/>
        <v>0</v>
      </c>
      <c r="AA236" s="141"/>
    </row>
    <row r="237" spans="1:27" s="130" customFormat="1" ht="15.75" outlineLevel="1" x14ac:dyDescent="0.25">
      <c r="A237" s="183" t="s">
        <v>533</v>
      </c>
      <c r="B237" s="167" t="s">
        <v>761</v>
      </c>
      <c r="C237" s="168" t="s">
        <v>98</v>
      </c>
      <c r="D237" s="270">
        <v>44</v>
      </c>
      <c r="E237" s="271"/>
      <c r="F237" s="168"/>
      <c r="G237" s="270"/>
      <c r="H237" s="271"/>
      <c r="I237" s="270"/>
      <c r="J237" s="277"/>
      <c r="K237" s="271"/>
      <c r="L237" s="270"/>
      <c r="M237" s="271"/>
      <c r="N237" s="270">
        <v>8</v>
      </c>
      <c r="O237" s="271"/>
      <c r="P237" s="168">
        <v>0</v>
      </c>
      <c r="Q237" s="270">
        <v>0</v>
      </c>
      <c r="R237" s="271"/>
      <c r="S237" s="178">
        <v>0</v>
      </c>
      <c r="T237" s="169">
        <f t="shared" si="105"/>
        <v>52</v>
      </c>
      <c r="U237" s="170">
        <v>0</v>
      </c>
      <c r="V237" s="170">
        <v>0</v>
      </c>
      <c r="W237" s="171">
        <f t="shared" si="119"/>
        <v>0</v>
      </c>
      <c r="X237" s="171">
        <f t="shared" si="120"/>
        <v>0</v>
      </c>
      <c r="Y237" s="171">
        <f t="shared" si="121"/>
        <v>0</v>
      </c>
      <c r="Z237" s="171">
        <f t="shared" si="122"/>
        <v>0</v>
      </c>
      <c r="AA237" s="141"/>
    </row>
    <row r="238" spans="1:27" s="130" customFormat="1" ht="15.75" outlineLevel="1" x14ac:dyDescent="0.25">
      <c r="A238" s="183" t="s">
        <v>298</v>
      </c>
      <c r="B238" s="167" t="s">
        <v>814</v>
      </c>
      <c r="C238" s="168" t="s">
        <v>98</v>
      </c>
      <c r="D238" s="270">
        <v>0</v>
      </c>
      <c r="E238" s="271"/>
      <c r="F238" s="168"/>
      <c r="G238" s="270"/>
      <c r="H238" s="271"/>
      <c r="I238" s="270"/>
      <c r="J238" s="277"/>
      <c r="K238" s="271"/>
      <c r="L238" s="270"/>
      <c r="M238" s="271"/>
      <c r="N238" s="270">
        <v>0</v>
      </c>
      <c r="O238" s="271"/>
      <c r="P238" s="168">
        <v>0</v>
      </c>
      <c r="Q238" s="270">
        <v>18</v>
      </c>
      <c r="R238" s="271"/>
      <c r="S238" s="178">
        <v>0</v>
      </c>
      <c r="T238" s="169">
        <f t="shared" si="105"/>
        <v>18</v>
      </c>
      <c r="U238" s="170">
        <v>0</v>
      </c>
      <c r="V238" s="170">
        <v>0</v>
      </c>
      <c r="W238" s="171">
        <f t="shared" si="119"/>
        <v>0</v>
      </c>
      <c r="X238" s="171">
        <f t="shared" si="120"/>
        <v>0</v>
      </c>
      <c r="Y238" s="171">
        <f t="shared" si="121"/>
        <v>0</v>
      </c>
      <c r="Z238" s="171">
        <f t="shared" si="122"/>
        <v>0</v>
      </c>
      <c r="AA238" s="141"/>
    </row>
    <row r="239" spans="1:27" s="130" customFormat="1" ht="15.75" outlineLevel="1" x14ac:dyDescent="0.25">
      <c r="A239" s="183" t="s">
        <v>450</v>
      </c>
      <c r="B239" s="167" t="s">
        <v>763</v>
      </c>
      <c r="C239" s="168" t="s">
        <v>98</v>
      </c>
      <c r="D239" s="270">
        <v>0</v>
      </c>
      <c r="E239" s="271"/>
      <c r="F239" s="168"/>
      <c r="G239" s="270"/>
      <c r="H239" s="271"/>
      <c r="I239" s="270"/>
      <c r="J239" s="277"/>
      <c r="K239" s="271"/>
      <c r="L239" s="270"/>
      <c r="M239" s="271"/>
      <c r="N239" s="270">
        <v>6</v>
      </c>
      <c r="O239" s="271"/>
      <c r="P239" s="168">
        <v>0</v>
      </c>
      <c r="Q239" s="270">
        <v>0</v>
      </c>
      <c r="R239" s="271"/>
      <c r="S239" s="178">
        <v>0</v>
      </c>
      <c r="T239" s="169">
        <f t="shared" si="105"/>
        <v>6</v>
      </c>
      <c r="U239" s="170">
        <v>0</v>
      </c>
      <c r="V239" s="170">
        <v>0</v>
      </c>
      <c r="W239" s="171">
        <f t="shared" si="119"/>
        <v>0</v>
      </c>
      <c r="X239" s="171">
        <f t="shared" si="120"/>
        <v>0</v>
      </c>
      <c r="Y239" s="171">
        <f t="shared" si="121"/>
        <v>0</v>
      </c>
      <c r="Z239" s="171">
        <f t="shared" si="122"/>
        <v>0</v>
      </c>
      <c r="AA239" s="141"/>
    </row>
    <row r="240" spans="1:27" s="130" customFormat="1" ht="15.75" outlineLevel="1" x14ac:dyDescent="0.25">
      <c r="A240" s="183" t="s">
        <v>534</v>
      </c>
      <c r="B240" s="167" t="s">
        <v>449</v>
      </c>
      <c r="C240" s="168" t="s">
        <v>98</v>
      </c>
      <c r="D240" s="270">
        <v>0</v>
      </c>
      <c r="E240" s="271"/>
      <c r="F240" s="168"/>
      <c r="G240" s="270"/>
      <c r="H240" s="271"/>
      <c r="I240" s="270">
        <v>22</v>
      </c>
      <c r="J240" s="277"/>
      <c r="K240" s="271"/>
      <c r="L240" s="270">
        <v>10</v>
      </c>
      <c r="M240" s="271"/>
      <c r="N240" s="270">
        <v>10</v>
      </c>
      <c r="O240" s="271"/>
      <c r="P240" s="168">
        <v>0</v>
      </c>
      <c r="Q240" s="270">
        <v>0</v>
      </c>
      <c r="R240" s="271"/>
      <c r="S240" s="178">
        <v>2</v>
      </c>
      <c r="T240" s="169">
        <f t="shared" si="105"/>
        <v>44</v>
      </c>
      <c r="U240" s="170">
        <v>0</v>
      </c>
      <c r="V240" s="170">
        <v>0</v>
      </c>
      <c r="W240" s="171">
        <f t="shared" si="119"/>
        <v>0</v>
      </c>
      <c r="X240" s="171">
        <f t="shared" si="120"/>
        <v>0</v>
      </c>
      <c r="Y240" s="171">
        <f t="shared" si="121"/>
        <v>0</v>
      </c>
      <c r="Z240" s="171">
        <f t="shared" si="122"/>
        <v>0</v>
      </c>
      <c r="AA240" s="141"/>
    </row>
    <row r="241" spans="1:27" s="130" customFormat="1" ht="15.75" outlineLevel="1" x14ac:dyDescent="0.25">
      <c r="A241" s="183" t="s">
        <v>535</v>
      </c>
      <c r="B241" s="167" t="s">
        <v>675</v>
      </c>
      <c r="C241" s="168" t="s">
        <v>98</v>
      </c>
      <c r="D241" s="270">
        <v>18</v>
      </c>
      <c r="E241" s="271"/>
      <c r="F241" s="168"/>
      <c r="G241" s="270"/>
      <c r="H241" s="271"/>
      <c r="I241" s="270"/>
      <c r="J241" s="277"/>
      <c r="K241" s="271"/>
      <c r="L241" s="270"/>
      <c r="M241" s="271"/>
      <c r="N241" s="270">
        <v>0</v>
      </c>
      <c r="O241" s="271"/>
      <c r="P241" s="168">
        <v>0</v>
      </c>
      <c r="Q241" s="270">
        <v>0</v>
      </c>
      <c r="R241" s="271"/>
      <c r="S241" s="178">
        <v>0</v>
      </c>
      <c r="T241" s="169">
        <f t="shared" si="105"/>
        <v>18</v>
      </c>
      <c r="U241" s="170">
        <v>0</v>
      </c>
      <c r="V241" s="170">
        <v>0</v>
      </c>
      <c r="W241" s="171">
        <f t="shared" si="119"/>
        <v>0</v>
      </c>
      <c r="X241" s="171">
        <f t="shared" si="120"/>
        <v>0</v>
      </c>
      <c r="Y241" s="171">
        <f t="shared" si="121"/>
        <v>0</v>
      </c>
      <c r="Z241" s="171">
        <f t="shared" si="122"/>
        <v>0</v>
      </c>
      <c r="AA241" s="141"/>
    </row>
    <row r="242" spans="1:27" s="130" customFormat="1" ht="15.75" outlineLevel="1" x14ac:dyDescent="0.25">
      <c r="A242" s="183" t="s">
        <v>536</v>
      </c>
      <c r="B242" s="167" t="s">
        <v>301</v>
      </c>
      <c r="C242" s="168" t="s">
        <v>98</v>
      </c>
      <c r="D242" s="270">
        <v>48</v>
      </c>
      <c r="E242" s="271"/>
      <c r="F242" s="168">
        <v>111</v>
      </c>
      <c r="G242" s="270">
        <v>69</v>
      </c>
      <c r="H242" s="271"/>
      <c r="I242" s="270">
        <v>164</v>
      </c>
      <c r="J242" s="277"/>
      <c r="K242" s="271"/>
      <c r="L242" s="270">
        <v>216</v>
      </c>
      <c r="M242" s="271"/>
      <c r="N242" s="270">
        <v>189</v>
      </c>
      <c r="O242" s="271"/>
      <c r="P242" s="168">
        <v>69</v>
      </c>
      <c r="Q242" s="270">
        <v>31</v>
      </c>
      <c r="R242" s="271"/>
      <c r="S242" s="178">
        <v>94</v>
      </c>
      <c r="T242" s="169">
        <f t="shared" si="105"/>
        <v>991</v>
      </c>
      <c r="U242" s="170">
        <v>0</v>
      </c>
      <c r="V242" s="170">
        <v>0</v>
      </c>
      <c r="W242" s="171">
        <f t="shared" si="119"/>
        <v>0</v>
      </c>
      <c r="X242" s="171">
        <f t="shared" si="120"/>
        <v>0</v>
      </c>
      <c r="Y242" s="171">
        <f t="shared" si="121"/>
        <v>0</v>
      </c>
      <c r="Z242" s="171">
        <f t="shared" si="122"/>
        <v>0</v>
      </c>
      <c r="AA242" s="141"/>
    </row>
    <row r="243" spans="1:27" s="130" customFormat="1" ht="15.75" outlineLevel="1" x14ac:dyDescent="0.25">
      <c r="A243" s="183" t="s">
        <v>300</v>
      </c>
      <c r="B243" s="167" t="s">
        <v>303</v>
      </c>
      <c r="C243" s="168" t="s">
        <v>98</v>
      </c>
      <c r="D243" s="270">
        <v>18</v>
      </c>
      <c r="E243" s="271"/>
      <c r="F243" s="168"/>
      <c r="G243" s="270">
        <v>4</v>
      </c>
      <c r="H243" s="271"/>
      <c r="I243" s="270"/>
      <c r="J243" s="277"/>
      <c r="K243" s="271"/>
      <c r="L243" s="270"/>
      <c r="M243" s="271"/>
      <c r="N243" s="270">
        <v>0</v>
      </c>
      <c r="O243" s="271"/>
      <c r="P243" s="168">
        <v>6</v>
      </c>
      <c r="Q243" s="270">
        <v>3</v>
      </c>
      <c r="R243" s="271"/>
      <c r="S243" s="178">
        <v>0</v>
      </c>
      <c r="T243" s="169">
        <f t="shared" si="105"/>
        <v>31</v>
      </c>
      <c r="U243" s="170">
        <v>0</v>
      </c>
      <c r="V243" s="170">
        <v>0</v>
      </c>
      <c r="W243" s="171">
        <f t="shared" si="119"/>
        <v>0</v>
      </c>
      <c r="X243" s="171">
        <f t="shared" si="120"/>
        <v>0</v>
      </c>
      <c r="Y243" s="171">
        <f t="shared" si="121"/>
        <v>0</v>
      </c>
      <c r="Z243" s="171">
        <f t="shared" si="122"/>
        <v>0</v>
      </c>
      <c r="AA243" s="141"/>
    </row>
    <row r="244" spans="1:27" s="130" customFormat="1" ht="15.75" outlineLevel="1" x14ac:dyDescent="0.25">
      <c r="A244" s="183" t="s">
        <v>302</v>
      </c>
      <c r="B244" s="167" t="s">
        <v>305</v>
      </c>
      <c r="C244" s="168" t="s">
        <v>98</v>
      </c>
      <c r="D244" s="270">
        <v>0</v>
      </c>
      <c r="E244" s="271"/>
      <c r="F244" s="168"/>
      <c r="G244" s="270">
        <v>3</v>
      </c>
      <c r="H244" s="271"/>
      <c r="I244" s="270">
        <v>3</v>
      </c>
      <c r="J244" s="277"/>
      <c r="K244" s="271"/>
      <c r="L244" s="270"/>
      <c r="M244" s="271"/>
      <c r="N244" s="270">
        <v>6</v>
      </c>
      <c r="O244" s="271"/>
      <c r="P244" s="168">
        <v>9</v>
      </c>
      <c r="Q244" s="270">
        <v>10</v>
      </c>
      <c r="R244" s="271"/>
      <c r="S244" s="178">
        <v>8</v>
      </c>
      <c r="T244" s="169">
        <f t="shared" si="105"/>
        <v>39</v>
      </c>
      <c r="U244" s="170">
        <v>0</v>
      </c>
      <c r="V244" s="170">
        <v>0</v>
      </c>
      <c r="W244" s="171">
        <f t="shared" si="119"/>
        <v>0</v>
      </c>
      <c r="X244" s="171">
        <f t="shared" si="120"/>
        <v>0</v>
      </c>
      <c r="Y244" s="171">
        <f t="shared" si="121"/>
        <v>0</v>
      </c>
      <c r="Z244" s="171">
        <f t="shared" si="122"/>
        <v>0</v>
      </c>
      <c r="AA244" s="141"/>
    </row>
    <row r="245" spans="1:27" s="130" customFormat="1" ht="15.75" outlineLevel="1" x14ac:dyDescent="0.25">
      <c r="A245" s="183" t="s">
        <v>537</v>
      </c>
      <c r="B245" s="167" t="s">
        <v>307</v>
      </c>
      <c r="C245" s="168" t="s">
        <v>98</v>
      </c>
      <c r="D245" s="270">
        <v>0</v>
      </c>
      <c r="E245" s="271"/>
      <c r="F245" s="168"/>
      <c r="G245" s="270"/>
      <c r="H245" s="271"/>
      <c r="I245" s="270">
        <v>2</v>
      </c>
      <c r="J245" s="277"/>
      <c r="K245" s="271"/>
      <c r="L245" s="270"/>
      <c r="M245" s="271"/>
      <c r="N245" s="270">
        <v>0</v>
      </c>
      <c r="O245" s="271"/>
      <c r="P245" s="168">
        <v>0</v>
      </c>
      <c r="Q245" s="270">
        <v>0</v>
      </c>
      <c r="R245" s="271"/>
      <c r="S245" s="178">
        <v>14</v>
      </c>
      <c r="T245" s="169">
        <f t="shared" si="105"/>
        <v>16</v>
      </c>
      <c r="U245" s="170">
        <v>0</v>
      </c>
      <c r="V245" s="170">
        <v>0</v>
      </c>
      <c r="W245" s="171">
        <f t="shared" si="119"/>
        <v>0</v>
      </c>
      <c r="X245" s="171">
        <f t="shared" si="120"/>
        <v>0</v>
      </c>
      <c r="Y245" s="171">
        <f t="shared" si="121"/>
        <v>0</v>
      </c>
      <c r="Z245" s="171">
        <f t="shared" si="122"/>
        <v>0</v>
      </c>
      <c r="AA245" s="141"/>
    </row>
    <row r="246" spans="1:27" s="130" customFormat="1" ht="15.75" outlineLevel="1" x14ac:dyDescent="0.25">
      <c r="A246" s="183" t="s">
        <v>538</v>
      </c>
      <c r="B246" s="167" t="s">
        <v>762</v>
      </c>
      <c r="C246" s="168" t="s">
        <v>98</v>
      </c>
      <c r="D246" s="270">
        <v>0</v>
      </c>
      <c r="E246" s="271"/>
      <c r="F246" s="168"/>
      <c r="G246" s="270"/>
      <c r="H246" s="271"/>
      <c r="I246" s="270"/>
      <c r="J246" s="277"/>
      <c r="K246" s="271"/>
      <c r="L246" s="270"/>
      <c r="M246" s="271"/>
      <c r="N246" s="270">
        <v>6</v>
      </c>
      <c r="O246" s="271"/>
      <c r="P246" s="168">
        <v>0</v>
      </c>
      <c r="Q246" s="270">
        <v>2</v>
      </c>
      <c r="R246" s="271"/>
      <c r="S246" s="178">
        <v>0</v>
      </c>
      <c r="T246" s="169">
        <f t="shared" si="105"/>
        <v>8</v>
      </c>
      <c r="U246" s="170">
        <v>0</v>
      </c>
      <c r="V246" s="170">
        <v>0</v>
      </c>
      <c r="W246" s="171">
        <f t="shared" si="119"/>
        <v>0</v>
      </c>
      <c r="X246" s="171">
        <f t="shared" si="120"/>
        <v>0</v>
      </c>
      <c r="Y246" s="171">
        <f t="shared" si="121"/>
        <v>0</v>
      </c>
      <c r="Z246" s="171">
        <f t="shared" si="122"/>
        <v>0</v>
      </c>
      <c r="AA246" s="141"/>
    </row>
    <row r="247" spans="1:27" s="130" customFormat="1" ht="15.75" outlineLevel="1" x14ac:dyDescent="0.25">
      <c r="A247" s="183" t="s">
        <v>304</v>
      </c>
      <c r="B247" s="167" t="s">
        <v>764</v>
      </c>
      <c r="C247" s="168" t="s">
        <v>98</v>
      </c>
      <c r="D247" s="270">
        <v>0</v>
      </c>
      <c r="E247" s="271"/>
      <c r="F247" s="168"/>
      <c r="G247" s="270"/>
      <c r="H247" s="271"/>
      <c r="I247" s="270"/>
      <c r="J247" s="277"/>
      <c r="K247" s="271"/>
      <c r="L247" s="270"/>
      <c r="M247" s="271"/>
      <c r="N247" s="270">
        <v>10</v>
      </c>
      <c r="O247" s="271"/>
      <c r="P247" s="168">
        <v>0</v>
      </c>
      <c r="Q247" s="270">
        <v>0</v>
      </c>
      <c r="R247" s="271"/>
      <c r="S247" s="178">
        <v>6</v>
      </c>
      <c r="T247" s="169">
        <f t="shared" si="105"/>
        <v>16</v>
      </c>
      <c r="U247" s="170">
        <v>0</v>
      </c>
      <c r="V247" s="170">
        <v>0</v>
      </c>
      <c r="W247" s="171">
        <f t="shared" si="119"/>
        <v>0</v>
      </c>
      <c r="X247" s="171">
        <f t="shared" si="120"/>
        <v>0</v>
      </c>
      <c r="Y247" s="171">
        <f t="shared" si="121"/>
        <v>0</v>
      </c>
      <c r="Z247" s="171">
        <f t="shared" si="122"/>
        <v>0</v>
      </c>
      <c r="AA247" s="141"/>
    </row>
    <row r="248" spans="1:27" s="130" customFormat="1" ht="15.75" outlineLevel="1" x14ac:dyDescent="0.25">
      <c r="A248" s="183" t="s">
        <v>306</v>
      </c>
      <c r="B248" s="167" t="s">
        <v>765</v>
      </c>
      <c r="C248" s="168" t="s">
        <v>98</v>
      </c>
      <c r="D248" s="270">
        <v>0</v>
      </c>
      <c r="E248" s="271"/>
      <c r="F248" s="168"/>
      <c r="G248" s="270"/>
      <c r="H248" s="271"/>
      <c r="I248" s="270"/>
      <c r="J248" s="277"/>
      <c r="K248" s="271"/>
      <c r="L248" s="270"/>
      <c r="M248" s="271"/>
      <c r="N248" s="270">
        <v>6</v>
      </c>
      <c r="O248" s="271"/>
      <c r="P248" s="168">
        <v>0</v>
      </c>
      <c r="Q248" s="270">
        <v>0</v>
      </c>
      <c r="R248" s="271"/>
      <c r="S248" s="178">
        <v>0</v>
      </c>
      <c r="T248" s="169">
        <f t="shared" si="105"/>
        <v>6</v>
      </c>
      <c r="U248" s="170">
        <v>0</v>
      </c>
      <c r="V248" s="170">
        <v>0</v>
      </c>
      <c r="W248" s="171">
        <f t="shared" si="119"/>
        <v>0</v>
      </c>
      <c r="X248" s="171">
        <f t="shared" si="120"/>
        <v>0</v>
      </c>
      <c r="Y248" s="171">
        <f t="shared" si="121"/>
        <v>0</v>
      </c>
      <c r="Z248" s="171">
        <f t="shared" si="122"/>
        <v>0</v>
      </c>
      <c r="AA248" s="141"/>
    </row>
    <row r="249" spans="1:27" s="130" customFormat="1" ht="15.75" outlineLevel="1" x14ac:dyDescent="0.25">
      <c r="A249" s="183" t="s">
        <v>308</v>
      </c>
      <c r="B249" s="167" t="s">
        <v>310</v>
      </c>
      <c r="C249" s="168" t="s">
        <v>98</v>
      </c>
      <c r="D249" s="270">
        <v>10</v>
      </c>
      <c r="E249" s="271"/>
      <c r="F249" s="168"/>
      <c r="G249" s="270"/>
      <c r="H249" s="271"/>
      <c r="I249" s="270"/>
      <c r="J249" s="277"/>
      <c r="K249" s="271"/>
      <c r="L249" s="270"/>
      <c r="M249" s="271"/>
      <c r="N249" s="270">
        <v>6</v>
      </c>
      <c r="O249" s="271"/>
      <c r="P249" s="168">
        <v>2</v>
      </c>
      <c r="Q249" s="270">
        <v>18</v>
      </c>
      <c r="R249" s="271"/>
      <c r="S249" s="178">
        <v>8</v>
      </c>
      <c r="T249" s="169">
        <f t="shared" si="105"/>
        <v>44</v>
      </c>
      <c r="U249" s="170">
        <v>0</v>
      </c>
      <c r="V249" s="170">
        <v>0</v>
      </c>
      <c r="W249" s="171">
        <f t="shared" si="119"/>
        <v>0</v>
      </c>
      <c r="X249" s="171">
        <f t="shared" si="120"/>
        <v>0</v>
      </c>
      <c r="Y249" s="171">
        <f t="shared" si="121"/>
        <v>0</v>
      </c>
      <c r="Z249" s="171">
        <f t="shared" si="122"/>
        <v>0</v>
      </c>
      <c r="AA249" s="141"/>
    </row>
    <row r="250" spans="1:27" s="130" customFormat="1" ht="15.75" outlineLevel="1" x14ac:dyDescent="0.25">
      <c r="A250" s="183" t="s">
        <v>698</v>
      </c>
      <c r="B250" s="167" t="s">
        <v>671</v>
      </c>
      <c r="C250" s="168" t="s">
        <v>98</v>
      </c>
      <c r="D250" s="270">
        <v>0</v>
      </c>
      <c r="E250" s="271"/>
      <c r="F250" s="168"/>
      <c r="G250" s="270"/>
      <c r="H250" s="271"/>
      <c r="I250" s="270">
        <v>6</v>
      </c>
      <c r="J250" s="277"/>
      <c r="K250" s="271"/>
      <c r="L250" s="270"/>
      <c r="M250" s="271"/>
      <c r="N250" s="270">
        <v>8</v>
      </c>
      <c r="O250" s="271"/>
      <c r="P250" s="168">
        <v>0</v>
      </c>
      <c r="Q250" s="270">
        <v>0</v>
      </c>
      <c r="R250" s="271"/>
      <c r="S250" s="178">
        <v>0</v>
      </c>
      <c r="T250" s="169">
        <f t="shared" si="105"/>
        <v>14</v>
      </c>
      <c r="U250" s="170">
        <v>0</v>
      </c>
      <c r="V250" s="170">
        <v>0</v>
      </c>
      <c r="W250" s="171">
        <f t="shared" si="119"/>
        <v>0</v>
      </c>
      <c r="X250" s="171">
        <f t="shared" si="120"/>
        <v>0</v>
      </c>
      <c r="Y250" s="171">
        <f t="shared" si="121"/>
        <v>0</v>
      </c>
      <c r="Z250" s="171">
        <f t="shared" si="122"/>
        <v>0</v>
      </c>
      <c r="AA250" s="141"/>
    </row>
    <row r="251" spans="1:27" s="130" customFormat="1" ht="15.75" outlineLevel="1" x14ac:dyDescent="0.25">
      <c r="A251" s="183" t="s">
        <v>868</v>
      </c>
      <c r="B251" s="167" t="s">
        <v>822</v>
      </c>
      <c r="C251" s="168" t="s">
        <v>98</v>
      </c>
      <c r="D251" s="270">
        <v>0</v>
      </c>
      <c r="E251" s="271"/>
      <c r="F251" s="168"/>
      <c r="G251" s="270"/>
      <c r="H251" s="271"/>
      <c r="I251" s="270"/>
      <c r="J251" s="277"/>
      <c r="K251" s="271"/>
      <c r="L251" s="270"/>
      <c r="M251" s="271"/>
      <c r="N251" s="270">
        <v>0</v>
      </c>
      <c r="O251" s="271"/>
      <c r="P251" s="168">
        <v>0</v>
      </c>
      <c r="Q251" s="270">
        <v>0</v>
      </c>
      <c r="R251" s="271"/>
      <c r="S251" s="178">
        <v>4</v>
      </c>
      <c r="T251" s="169">
        <f t="shared" si="105"/>
        <v>4</v>
      </c>
      <c r="U251" s="170">
        <v>0</v>
      </c>
      <c r="V251" s="170">
        <v>0</v>
      </c>
      <c r="W251" s="171">
        <f t="shared" si="119"/>
        <v>0</v>
      </c>
      <c r="X251" s="171">
        <f t="shared" si="120"/>
        <v>0</v>
      </c>
      <c r="Y251" s="171">
        <f t="shared" si="121"/>
        <v>0</v>
      </c>
      <c r="Z251" s="171">
        <f t="shared" si="122"/>
        <v>0</v>
      </c>
      <c r="AA251" s="141"/>
    </row>
    <row r="252" spans="1:27" s="130" customFormat="1" ht="15.75" outlineLevel="1" x14ac:dyDescent="0.25">
      <c r="A252" s="183" t="s">
        <v>869</v>
      </c>
      <c r="B252" s="167" t="s">
        <v>686</v>
      </c>
      <c r="C252" s="168" t="s">
        <v>98</v>
      </c>
      <c r="D252" s="270">
        <v>0</v>
      </c>
      <c r="E252" s="271"/>
      <c r="F252" s="168"/>
      <c r="G252" s="270"/>
      <c r="H252" s="271"/>
      <c r="I252" s="270"/>
      <c r="J252" s="277"/>
      <c r="K252" s="271"/>
      <c r="L252" s="270">
        <v>7</v>
      </c>
      <c r="M252" s="271"/>
      <c r="N252" s="270">
        <v>0</v>
      </c>
      <c r="O252" s="271"/>
      <c r="P252" s="168">
        <v>0</v>
      </c>
      <c r="Q252" s="270">
        <v>0</v>
      </c>
      <c r="R252" s="271"/>
      <c r="S252" s="178">
        <v>0</v>
      </c>
      <c r="T252" s="169">
        <f t="shared" si="105"/>
        <v>7</v>
      </c>
      <c r="U252" s="170">
        <v>0</v>
      </c>
      <c r="V252" s="170">
        <v>0</v>
      </c>
      <c r="W252" s="171">
        <f t="shared" si="119"/>
        <v>0</v>
      </c>
      <c r="X252" s="171">
        <f t="shared" si="120"/>
        <v>0</v>
      </c>
      <c r="Y252" s="171">
        <f t="shared" si="121"/>
        <v>0</v>
      </c>
      <c r="Z252" s="171">
        <f t="shared" si="122"/>
        <v>0</v>
      </c>
      <c r="AA252" s="141"/>
    </row>
    <row r="253" spans="1:27" s="130" customFormat="1" ht="15.75" outlineLevel="1" x14ac:dyDescent="0.25">
      <c r="A253" s="183" t="s">
        <v>870</v>
      </c>
      <c r="B253" s="167" t="s">
        <v>311</v>
      </c>
      <c r="C253" s="168" t="s">
        <v>98</v>
      </c>
      <c r="D253" s="270">
        <v>24</v>
      </c>
      <c r="E253" s="271"/>
      <c r="F253" s="168"/>
      <c r="G253" s="270"/>
      <c r="H253" s="271"/>
      <c r="I253" s="270">
        <v>20</v>
      </c>
      <c r="J253" s="277"/>
      <c r="K253" s="271"/>
      <c r="L253" s="270">
        <v>38</v>
      </c>
      <c r="M253" s="271"/>
      <c r="N253" s="270">
        <v>48</v>
      </c>
      <c r="O253" s="271"/>
      <c r="P253" s="168">
        <v>0</v>
      </c>
      <c r="Q253" s="270">
        <v>37</v>
      </c>
      <c r="R253" s="271"/>
      <c r="S253" s="178">
        <v>11</v>
      </c>
      <c r="T253" s="169">
        <f t="shared" si="105"/>
        <v>178</v>
      </c>
      <c r="U253" s="170">
        <v>0</v>
      </c>
      <c r="V253" s="170">
        <v>0</v>
      </c>
      <c r="W253" s="171">
        <f t="shared" si="119"/>
        <v>0</v>
      </c>
      <c r="X253" s="171">
        <f t="shared" si="120"/>
        <v>0</v>
      </c>
      <c r="Y253" s="171">
        <f t="shared" si="121"/>
        <v>0</v>
      </c>
      <c r="Z253" s="171">
        <f t="shared" si="122"/>
        <v>0</v>
      </c>
      <c r="AA253" s="141"/>
    </row>
    <row r="254" spans="1:27" s="130" customFormat="1" ht="15.75" outlineLevel="1" x14ac:dyDescent="0.25">
      <c r="A254" s="183" t="s">
        <v>871</v>
      </c>
      <c r="B254" s="167" t="s">
        <v>530</v>
      </c>
      <c r="C254" s="168" t="s">
        <v>98</v>
      </c>
      <c r="D254" s="270">
        <v>0</v>
      </c>
      <c r="E254" s="271"/>
      <c r="F254" s="168"/>
      <c r="G254" s="270"/>
      <c r="H254" s="271"/>
      <c r="I254" s="270">
        <v>30</v>
      </c>
      <c r="J254" s="277"/>
      <c r="K254" s="271"/>
      <c r="L254" s="270"/>
      <c r="M254" s="271"/>
      <c r="N254" s="270">
        <v>31</v>
      </c>
      <c r="O254" s="271"/>
      <c r="P254" s="168">
        <v>0</v>
      </c>
      <c r="Q254" s="270">
        <v>0</v>
      </c>
      <c r="R254" s="271"/>
      <c r="S254" s="178">
        <v>0</v>
      </c>
      <c r="T254" s="169">
        <f t="shared" si="105"/>
        <v>61</v>
      </c>
      <c r="U254" s="170">
        <v>0</v>
      </c>
      <c r="V254" s="170">
        <v>0</v>
      </c>
      <c r="W254" s="171">
        <f t="shared" si="119"/>
        <v>0</v>
      </c>
      <c r="X254" s="171">
        <f t="shared" si="120"/>
        <v>0</v>
      </c>
      <c r="Y254" s="171">
        <f t="shared" si="121"/>
        <v>0</v>
      </c>
      <c r="Z254" s="171">
        <f t="shared" si="122"/>
        <v>0</v>
      </c>
      <c r="AA254" s="141"/>
    </row>
    <row r="255" spans="1:27" s="130" customFormat="1" ht="15.75" outlineLevel="1" x14ac:dyDescent="0.25">
      <c r="A255" s="183" t="s">
        <v>872</v>
      </c>
      <c r="B255" s="167" t="s">
        <v>725</v>
      </c>
      <c r="C255" s="168" t="s">
        <v>98</v>
      </c>
      <c r="D255" s="270">
        <v>2</v>
      </c>
      <c r="E255" s="271"/>
      <c r="F255" s="168"/>
      <c r="G255" s="270"/>
      <c r="H255" s="271"/>
      <c r="I255" s="270"/>
      <c r="J255" s="277"/>
      <c r="K255" s="271"/>
      <c r="L255" s="270"/>
      <c r="M255" s="271"/>
      <c r="N255" s="270">
        <v>4</v>
      </c>
      <c r="O255" s="271"/>
      <c r="P255" s="168">
        <v>0</v>
      </c>
      <c r="Q255" s="270">
        <v>0</v>
      </c>
      <c r="R255" s="271"/>
      <c r="S255" s="178">
        <v>0</v>
      </c>
      <c r="T255" s="169">
        <f t="shared" si="105"/>
        <v>6</v>
      </c>
      <c r="U255" s="170">
        <v>0</v>
      </c>
      <c r="V255" s="170">
        <v>0</v>
      </c>
      <c r="W255" s="171">
        <f t="shared" si="119"/>
        <v>0</v>
      </c>
      <c r="X255" s="171">
        <f t="shared" si="120"/>
        <v>0</v>
      </c>
      <c r="Y255" s="171">
        <f t="shared" si="121"/>
        <v>0</v>
      </c>
      <c r="Z255" s="171">
        <f t="shared" si="122"/>
        <v>0</v>
      </c>
      <c r="AA255" s="141"/>
    </row>
    <row r="256" spans="1:27" s="130" customFormat="1" ht="15.75" outlineLevel="1" x14ac:dyDescent="0.25">
      <c r="A256" s="183" t="s">
        <v>873</v>
      </c>
      <c r="B256" s="167" t="s">
        <v>672</v>
      </c>
      <c r="C256" s="168" t="s">
        <v>98</v>
      </c>
      <c r="D256" s="270">
        <v>0</v>
      </c>
      <c r="E256" s="271"/>
      <c r="F256" s="168"/>
      <c r="G256" s="270"/>
      <c r="H256" s="271"/>
      <c r="I256" s="270">
        <v>4</v>
      </c>
      <c r="J256" s="277"/>
      <c r="K256" s="271"/>
      <c r="L256" s="270"/>
      <c r="M256" s="271"/>
      <c r="N256" s="270">
        <v>0</v>
      </c>
      <c r="O256" s="271"/>
      <c r="P256" s="168">
        <v>0</v>
      </c>
      <c r="Q256" s="270">
        <v>0</v>
      </c>
      <c r="R256" s="271"/>
      <c r="S256" s="178">
        <v>0</v>
      </c>
      <c r="T256" s="169">
        <f t="shared" si="105"/>
        <v>4</v>
      </c>
      <c r="U256" s="170">
        <v>0</v>
      </c>
      <c r="V256" s="170">
        <v>0</v>
      </c>
      <c r="W256" s="171">
        <f t="shared" si="119"/>
        <v>0</v>
      </c>
      <c r="X256" s="171">
        <f t="shared" si="120"/>
        <v>0</v>
      </c>
      <c r="Y256" s="171">
        <f t="shared" si="121"/>
        <v>0</v>
      </c>
      <c r="Z256" s="171">
        <f t="shared" si="122"/>
        <v>0</v>
      </c>
      <c r="AA256" s="141"/>
    </row>
    <row r="257" spans="1:27" s="130" customFormat="1" ht="15.75" outlineLevel="1" x14ac:dyDescent="0.25">
      <c r="A257" s="183" t="s">
        <v>874</v>
      </c>
      <c r="B257" s="167" t="s">
        <v>673</v>
      </c>
      <c r="C257" s="168" t="s">
        <v>98</v>
      </c>
      <c r="D257" s="270">
        <v>0</v>
      </c>
      <c r="E257" s="271"/>
      <c r="F257" s="168"/>
      <c r="G257" s="270"/>
      <c r="H257" s="271"/>
      <c r="I257" s="270">
        <v>6</v>
      </c>
      <c r="J257" s="277"/>
      <c r="K257" s="271"/>
      <c r="L257" s="270">
        <v>7</v>
      </c>
      <c r="M257" s="271"/>
      <c r="N257" s="270">
        <v>0</v>
      </c>
      <c r="O257" s="271"/>
      <c r="P257" s="168">
        <v>0</v>
      </c>
      <c r="Q257" s="270">
        <v>0</v>
      </c>
      <c r="R257" s="271"/>
      <c r="S257" s="178">
        <v>0</v>
      </c>
      <c r="T257" s="169">
        <f t="shared" si="105"/>
        <v>13</v>
      </c>
      <c r="U257" s="170">
        <v>0</v>
      </c>
      <c r="V257" s="170">
        <v>0</v>
      </c>
      <c r="W257" s="171">
        <f t="shared" si="119"/>
        <v>0</v>
      </c>
      <c r="X257" s="171">
        <f t="shared" si="120"/>
        <v>0</v>
      </c>
      <c r="Y257" s="171">
        <f t="shared" si="121"/>
        <v>0</v>
      </c>
      <c r="Z257" s="171">
        <f t="shared" si="122"/>
        <v>0</v>
      </c>
      <c r="AA257" s="141"/>
    </row>
    <row r="258" spans="1:27" s="130" customFormat="1" ht="15.75" outlineLevel="1" x14ac:dyDescent="0.25">
      <c r="A258" s="183" t="s">
        <v>875</v>
      </c>
      <c r="B258" s="167" t="s">
        <v>674</v>
      </c>
      <c r="C258" s="168" t="s">
        <v>98</v>
      </c>
      <c r="D258" s="270">
        <v>0</v>
      </c>
      <c r="E258" s="271"/>
      <c r="F258" s="168"/>
      <c r="G258" s="270"/>
      <c r="H258" s="271"/>
      <c r="I258" s="270"/>
      <c r="J258" s="277"/>
      <c r="K258" s="271"/>
      <c r="L258" s="270">
        <v>12</v>
      </c>
      <c r="M258" s="271"/>
      <c r="N258" s="270">
        <v>2</v>
      </c>
      <c r="O258" s="271"/>
      <c r="P258" s="168">
        <v>0</v>
      </c>
      <c r="Q258" s="270">
        <v>0</v>
      </c>
      <c r="R258" s="271"/>
      <c r="S258" s="178">
        <v>0</v>
      </c>
      <c r="T258" s="169">
        <f t="shared" si="105"/>
        <v>14</v>
      </c>
      <c r="U258" s="170">
        <v>0</v>
      </c>
      <c r="V258" s="170">
        <v>0</v>
      </c>
      <c r="W258" s="171">
        <f t="shared" si="119"/>
        <v>0</v>
      </c>
      <c r="X258" s="171">
        <f t="shared" si="120"/>
        <v>0</v>
      </c>
      <c r="Y258" s="171">
        <f t="shared" si="121"/>
        <v>0</v>
      </c>
      <c r="Z258" s="171">
        <f t="shared" si="122"/>
        <v>0</v>
      </c>
      <c r="AA258" s="141"/>
    </row>
    <row r="259" spans="1:27" s="130" customFormat="1" ht="63" outlineLevel="1" x14ac:dyDescent="0.25">
      <c r="A259" s="183" t="s">
        <v>876</v>
      </c>
      <c r="B259" s="167" t="s">
        <v>894</v>
      </c>
      <c r="C259" s="168" t="s">
        <v>98</v>
      </c>
      <c r="D259" s="270">
        <v>720</v>
      </c>
      <c r="E259" s="271"/>
      <c r="F259" s="168">
        <f t="shared" ref="F259:M259" si="123">SUM(F199:F231)</f>
        <v>79</v>
      </c>
      <c r="G259" s="168">
        <f t="shared" si="123"/>
        <v>118</v>
      </c>
      <c r="H259" s="168">
        <f t="shared" si="123"/>
        <v>105</v>
      </c>
      <c r="I259" s="168">
        <f t="shared" si="123"/>
        <v>143</v>
      </c>
      <c r="J259" s="168">
        <f t="shared" si="123"/>
        <v>111</v>
      </c>
      <c r="K259" s="168">
        <f t="shared" si="123"/>
        <v>143</v>
      </c>
      <c r="L259" s="168">
        <f t="shared" si="123"/>
        <v>166</v>
      </c>
      <c r="M259" s="168">
        <f t="shared" si="123"/>
        <v>186</v>
      </c>
      <c r="N259" s="270">
        <v>2048</v>
      </c>
      <c r="O259" s="271"/>
      <c r="P259" s="168">
        <v>332</v>
      </c>
      <c r="Q259" s="270">
        <v>1398</v>
      </c>
      <c r="R259" s="271"/>
      <c r="S259" s="178">
        <v>618</v>
      </c>
      <c r="T259" s="169">
        <f t="shared" si="105"/>
        <v>6167</v>
      </c>
      <c r="U259" s="170">
        <v>0</v>
      </c>
      <c r="V259" s="170">
        <v>0</v>
      </c>
      <c r="W259" s="171">
        <f t="shared" si="119"/>
        <v>0</v>
      </c>
      <c r="X259" s="171">
        <f t="shared" si="120"/>
        <v>0</v>
      </c>
      <c r="Y259" s="171">
        <f t="shared" si="121"/>
        <v>0</v>
      </c>
      <c r="Z259" s="171">
        <f t="shared" si="122"/>
        <v>0</v>
      </c>
      <c r="AA259" s="141"/>
    </row>
    <row r="260" spans="1:27" s="130" customFormat="1" ht="42.75" customHeight="1" x14ac:dyDescent="0.25">
      <c r="A260" s="160" t="s">
        <v>313</v>
      </c>
      <c r="B260" s="161" t="s">
        <v>314</v>
      </c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73"/>
      <c r="V260" s="173"/>
      <c r="W260" s="173"/>
      <c r="X260" s="205">
        <f>SUBTOTAL(9,X261)</f>
        <v>0</v>
      </c>
      <c r="Y260" s="205">
        <f t="shared" ref="Y260:Z260" si="124">SUBTOTAL(9,Y261)</f>
        <v>0</v>
      </c>
      <c r="Z260" s="205">
        <f t="shared" si="124"/>
        <v>0</v>
      </c>
      <c r="AA260" s="136"/>
    </row>
    <row r="261" spans="1:27" s="130" customFormat="1" ht="78.75" outlineLevel="1" x14ac:dyDescent="0.25">
      <c r="A261" s="183" t="s">
        <v>315</v>
      </c>
      <c r="B261" s="167" t="s">
        <v>744</v>
      </c>
      <c r="C261" s="168" t="s">
        <v>102</v>
      </c>
      <c r="D261" s="168">
        <v>1.9</v>
      </c>
      <c r="E261" s="168">
        <v>3.8</v>
      </c>
      <c r="F261" s="168">
        <v>0</v>
      </c>
      <c r="G261" s="168">
        <f>(2*0.95)*3</f>
        <v>5.6999999999999993</v>
      </c>
      <c r="H261" s="168">
        <f>(2*0.95)*3</f>
        <v>5.6999999999999993</v>
      </c>
      <c r="I261" s="168">
        <f>(2*0.95)*3</f>
        <v>5.6999999999999993</v>
      </c>
      <c r="J261" s="168">
        <f>(2*0.95)*1</f>
        <v>1.9</v>
      </c>
      <c r="K261" s="168">
        <f>(2*0.95)*2</f>
        <v>3.8</v>
      </c>
      <c r="L261" s="168">
        <f>(2*0.95)*2</f>
        <v>3.8</v>
      </c>
      <c r="M261" s="168">
        <v>0</v>
      </c>
      <c r="N261" s="168">
        <v>3.8</v>
      </c>
      <c r="O261" s="168">
        <v>5.7</v>
      </c>
      <c r="P261" s="168">
        <v>0</v>
      </c>
      <c r="Q261" s="168">
        <v>3.8</v>
      </c>
      <c r="R261" s="168">
        <v>3.8</v>
      </c>
      <c r="S261" s="168">
        <v>3.8</v>
      </c>
      <c r="T261" s="169">
        <f t="shared" ref="T261:T320" si="125">SUM(D261:S261)</f>
        <v>53.199999999999989</v>
      </c>
      <c r="U261" s="170">
        <v>0</v>
      </c>
      <c r="V261" s="170">
        <v>0</v>
      </c>
      <c r="W261" s="171">
        <f t="shared" ref="W261" si="126">V261+U261</f>
        <v>0</v>
      </c>
      <c r="X261" s="171">
        <f t="shared" ref="X261" si="127">$T261*U261</f>
        <v>0</v>
      </c>
      <c r="Y261" s="171">
        <f t="shared" ref="Y261" si="128">$T261*V261</f>
        <v>0</v>
      </c>
      <c r="Z261" s="171">
        <f t="shared" ref="Z261" si="129">Y261+X261</f>
        <v>0</v>
      </c>
      <c r="AA261" s="141"/>
    </row>
    <row r="262" spans="1:27" s="130" customFormat="1" ht="47.25" x14ac:dyDescent="0.25">
      <c r="A262" s="160" t="s">
        <v>317</v>
      </c>
      <c r="B262" s="161" t="s">
        <v>740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73"/>
      <c r="V262" s="173"/>
      <c r="W262" s="173"/>
      <c r="X262" s="205">
        <f>SUBTOTAL(9,X264:X269)</f>
        <v>0</v>
      </c>
      <c r="Y262" s="205">
        <f t="shared" ref="Y262:Z262" si="130">SUBTOTAL(9,Y264:Y269)</f>
        <v>0</v>
      </c>
      <c r="Z262" s="205">
        <f t="shared" si="130"/>
        <v>0</v>
      </c>
      <c r="AA262" s="136"/>
    </row>
    <row r="263" spans="1:27" ht="15.75" outlineLevel="1" x14ac:dyDescent="0.25">
      <c r="A263" s="166" t="s">
        <v>317</v>
      </c>
      <c r="B263" s="167" t="s">
        <v>739</v>
      </c>
      <c r="C263" s="168" t="s">
        <v>98</v>
      </c>
      <c r="D263" s="272">
        <v>36</v>
      </c>
      <c r="E263" s="272"/>
      <c r="F263" s="168"/>
      <c r="G263" s="270"/>
      <c r="H263" s="271"/>
      <c r="I263" s="270"/>
      <c r="J263" s="277"/>
      <c r="K263" s="271"/>
      <c r="L263" s="270"/>
      <c r="M263" s="271"/>
      <c r="N263" s="168">
        <v>0</v>
      </c>
      <c r="O263" s="168">
        <v>0</v>
      </c>
      <c r="P263" s="168">
        <v>0</v>
      </c>
      <c r="Q263" s="168">
        <v>0</v>
      </c>
      <c r="R263" s="168">
        <v>0</v>
      </c>
      <c r="S263" s="168">
        <v>0</v>
      </c>
      <c r="T263" s="169">
        <f t="shared" si="125"/>
        <v>36</v>
      </c>
      <c r="U263" s="170">
        <v>0</v>
      </c>
      <c r="V263" s="170">
        <v>0</v>
      </c>
      <c r="W263" s="171">
        <f t="shared" ref="W263" si="131">V263+U263</f>
        <v>0</v>
      </c>
      <c r="X263" s="171">
        <f t="shared" ref="X263" si="132">$T263*U263</f>
        <v>0</v>
      </c>
      <c r="Y263" s="171">
        <f t="shared" ref="Y263" si="133">$T263*V263</f>
        <v>0</v>
      </c>
      <c r="Z263" s="171">
        <f t="shared" ref="Z263" si="134">Y263+X263</f>
        <v>0</v>
      </c>
      <c r="AA263" s="137"/>
    </row>
    <row r="264" spans="1:27" ht="15.75" outlineLevel="1" x14ac:dyDescent="0.25">
      <c r="A264" s="166" t="s">
        <v>319</v>
      </c>
      <c r="B264" s="167" t="s">
        <v>824</v>
      </c>
      <c r="C264" s="168" t="s">
        <v>98</v>
      </c>
      <c r="D264" s="168">
        <v>0</v>
      </c>
      <c r="E264" s="168">
        <v>0</v>
      </c>
      <c r="F264" s="168"/>
      <c r="G264" s="270"/>
      <c r="H264" s="271"/>
      <c r="I264" s="270"/>
      <c r="J264" s="277"/>
      <c r="K264" s="271"/>
      <c r="L264" s="270"/>
      <c r="M264" s="271"/>
      <c r="N264" s="168">
        <v>0</v>
      </c>
      <c r="O264" s="168">
        <v>0</v>
      </c>
      <c r="P264" s="168">
        <v>0</v>
      </c>
      <c r="Q264" s="168">
        <v>0</v>
      </c>
      <c r="R264" s="168">
        <v>0</v>
      </c>
      <c r="S264" s="168">
        <v>156</v>
      </c>
      <c r="T264" s="169">
        <f t="shared" si="125"/>
        <v>156</v>
      </c>
      <c r="U264" s="170">
        <v>0</v>
      </c>
      <c r="V264" s="170">
        <v>0</v>
      </c>
      <c r="W264" s="171">
        <f t="shared" ref="W264:W269" si="135">V264+U264</f>
        <v>0</v>
      </c>
      <c r="X264" s="171">
        <f t="shared" ref="X264:X269" si="136">$T264*U264</f>
        <v>0</v>
      </c>
      <c r="Y264" s="171">
        <f t="shared" ref="Y264:Y269" si="137">$T264*V264</f>
        <v>0</v>
      </c>
      <c r="Z264" s="171">
        <f t="shared" ref="Z264:Z269" si="138">Y264+X264</f>
        <v>0</v>
      </c>
      <c r="AA264" s="137"/>
    </row>
    <row r="265" spans="1:27" ht="15.75" outlineLevel="1" x14ac:dyDescent="0.25">
      <c r="A265" s="166" t="s">
        <v>321</v>
      </c>
      <c r="B265" s="167" t="s">
        <v>320</v>
      </c>
      <c r="C265" s="168" t="s">
        <v>98</v>
      </c>
      <c r="D265" s="168">
        <v>0</v>
      </c>
      <c r="E265" s="168">
        <v>0</v>
      </c>
      <c r="F265" s="168"/>
      <c r="G265" s="270">
        <v>6</v>
      </c>
      <c r="H265" s="271"/>
      <c r="I265" s="270">
        <v>3</v>
      </c>
      <c r="J265" s="277"/>
      <c r="K265" s="271"/>
      <c r="L265" s="270">
        <v>0</v>
      </c>
      <c r="M265" s="271"/>
      <c r="N265" s="168">
        <v>0</v>
      </c>
      <c r="O265" s="168">
        <v>0</v>
      </c>
      <c r="P265" s="168">
        <v>0</v>
      </c>
      <c r="Q265" s="168">
        <v>0</v>
      </c>
      <c r="R265" s="168">
        <v>0</v>
      </c>
      <c r="S265" s="168">
        <v>0</v>
      </c>
      <c r="T265" s="169">
        <f t="shared" si="125"/>
        <v>9</v>
      </c>
      <c r="U265" s="170">
        <v>0</v>
      </c>
      <c r="V265" s="170">
        <v>0</v>
      </c>
      <c r="W265" s="171">
        <f t="shared" si="135"/>
        <v>0</v>
      </c>
      <c r="X265" s="171">
        <f t="shared" si="136"/>
        <v>0</v>
      </c>
      <c r="Y265" s="171">
        <f t="shared" si="137"/>
        <v>0</v>
      </c>
      <c r="Z265" s="171">
        <f t="shared" si="138"/>
        <v>0</v>
      </c>
      <c r="AA265" s="137"/>
    </row>
    <row r="266" spans="1:27" ht="15.75" outlineLevel="1" x14ac:dyDescent="0.25">
      <c r="A266" s="166" t="s">
        <v>323</v>
      </c>
      <c r="B266" s="167" t="s">
        <v>326</v>
      </c>
      <c r="C266" s="168" t="s">
        <v>98</v>
      </c>
      <c r="D266" s="168">
        <v>0</v>
      </c>
      <c r="E266" s="168">
        <v>0</v>
      </c>
      <c r="F266" s="168"/>
      <c r="G266" s="270">
        <v>24</v>
      </c>
      <c r="H266" s="271"/>
      <c r="I266" s="270">
        <v>21</v>
      </c>
      <c r="J266" s="277"/>
      <c r="K266" s="271"/>
      <c r="L266" s="270">
        <v>12</v>
      </c>
      <c r="M266" s="271"/>
      <c r="N266" s="168">
        <v>0</v>
      </c>
      <c r="O266" s="168">
        <v>0</v>
      </c>
      <c r="P266" s="168">
        <v>0</v>
      </c>
      <c r="Q266" s="168">
        <v>0</v>
      </c>
      <c r="R266" s="168">
        <v>0</v>
      </c>
      <c r="S266" s="168">
        <v>0</v>
      </c>
      <c r="T266" s="169">
        <f t="shared" si="125"/>
        <v>57</v>
      </c>
      <c r="U266" s="170">
        <v>0</v>
      </c>
      <c r="V266" s="170">
        <v>0</v>
      </c>
      <c r="W266" s="171">
        <f t="shared" si="135"/>
        <v>0</v>
      </c>
      <c r="X266" s="171">
        <f t="shared" si="136"/>
        <v>0</v>
      </c>
      <c r="Y266" s="171">
        <f t="shared" si="137"/>
        <v>0</v>
      </c>
      <c r="Z266" s="171">
        <f t="shared" si="138"/>
        <v>0</v>
      </c>
      <c r="AA266" s="137"/>
    </row>
    <row r="267" spans="1:27" ht="15.75" outlineLevel="1" x14ac:dyDescent="0.25">
      <c r="A267" s="166" t="s">
        <v>325</v>
      </c>
      <c r="B267" s="167" t="s">
        <v>687</v>
      </c>
      <c r="C267" s="168" t="s">
        <v>98</v>
      </c>
      <c r="D267" s="168">
        <v>0</v>
      </c>
      <c r="E267" s="168">
        <v>0</v>
      </c>
      <c r="F267" s="168"/>
      <c r="G267" s="270"/>
      <c r="H267" s="271"/>
      <c r="I267" s="270">
        <v>9</v>
      </c>
      <c r="J267" s="277"/>
      <c r="K267" s="271"/>
      <c r="L267" s="270"/>
      <c r="M267" s="271"/>
      <c r="N267" s="168">
        <v>0</v>
      </c>
      <c r="O267" s="168">
        <v>0</v>
      </c>
      <c r="P267" s="168">
        <v>0</v>
      </c>
      <c r="Q267" s="168">
        <v>0</v>
      </c>
      <c r="R267" s="168">
        <v>0</v>
      </c>
      <c r="S267" s="168">
        <v>0</v>
      </c>
      <c r="T267" s="169">
        <f t="shared" si="125"/>
        <v>9</v>
      </c>
      <c r="U267" s="170">
        <v>0</v>
      </c>
      <c r="V267" s="170">
        <v>0</v>
      </c>
      <c r="W267" s="171">
        <f t="shared" si="135"/>
        <v>0</v>
      </c>
      <c r="X267" s="171">
        <f t="shared" si="136"/>
        <v>0</v>
      </c>
      <c r="Y267" s="171">
        <f t="shared" si="137"/>
        <v>0</v>
      </c>
      <c r="Z267" s="171">
        <f t="shared" si="138"/>
        <v>0</v>
      </c>
      <c r="AA267" s="137"/>
    </row>
    <row r="268" spans="1:27" ht="15.75" outlineLevel="1" x14ac:dyDescent="0.25">
      <c r="A268" s="166" t="s">
        <v>327</v>
      </c>
      <c r="B268" s="167" t="s">
        <v>693</v>
      </c>
      <c r="C268" s="168" t="s">
        <v>98</v>
      </c>
      <c r="D268" s="168">
        <v>0</v>
      </c>
      <c r="E268" s="168">
        <v>0</v>
      </c>
      <c r="F268" s="168"/>
      <c r="G268" s="270">
        <v>6</v>
      </c>
      <c r="H268" s="271"/>
      <c r="I268" s="270"/>
      <c r="J268" s="277"/>
      <c r="K268" s="271"/>
      <c r="L268" s="270"/>
      <c r="M268" s="271"/>
      <c r="N268" s="168">
        <v>0</v>
      </c>
      <c r="O268" s="168">
        <v>0</v>
      </c>
      <c r="P268" s="168">
        <v>0</v>
      </c>
      <c r="Q268" s="168">
        <v>0</v>
      </c>
      <c r="R268" s="168">
        <v>0</v>
      </c>
      <c r="S268" s="168">
        <v>0</v>
      </c>
      <c r="T268" s="169">
        <f t="shared" si="125"/>
        <v>6</v>
      </c>
      <c r="U268" s="170">
        <v>0</v>
      </c>
      <c r="V268" s="170">
        <v>0</v>
      </c>
      <c r="W268" s="171">
        <f t="shared" si="135"/>
        <v>0</v>
      </c>
      <c r="X268" s="171">
        <f t="shared" si="136"/>
        <v>0</v>
      </c>
      <c r="Y268" s="171">
        <f t="shared" si="137"/>
        <v>0</v>
      </c>
      <c r="Z268" s="171">
        <f t="shared" si="138"/>
        <v>0</v>
      </c>
      <c r="AA268" s="137"/>
    </row>
    <row r="269" spans="1:27" ht="15.75" outlineLevel="1" x14ac:dyDescent="0.25">
      <c r="A269" s="166" t="s">
        <v>329</v>
      </c>
      <c r="B269" s="167" t="s">
        <v>688</v>
      </c>
      <c r="C269" s="168" t="s">
        <v>98</v>
      </c>
      <c r="D269" s="168">
        <v>0</v>
      </c>
      <c r="E269" s="168">
        <v>0</v>
      </c>
      <c r="F269" s="168"/>
      <c r="G269" s="270"/>
      <c r="H269" s="271"/>
      <c r="I269" s="270">
        <v>3</v>
      </c>
      <c r="J269" s="277"/>
      <c r="K269" s="271"/>
      <c r="L269" s="270"/>
      <c r="M269" s="271"/>
      <c r="N269" s="168">
        <v>0</v>
      </c>
      <c r="O269" s="168">
        <v>0</v>
      </c>
      <c r="P269" s="168">
        <v>0</v>
      </c>
      <c r="Q269" s="168">
        <v>0</v>
      </c>
      <c r="R269" s="168">
        <v>0</v>
      </c>
      <c r="S269" s="168">
        <v>0</v>
      </c>
      <c r="T269" s="169">
        <f t="shared" si="125"/>
        <v>3</v>
      </c>
      <c r="U269" s="170">
        <v>0</v>
      </c>
      <c r="V269" s="170">
        <v>0</v>
      </c>
      <c r="W269" s="171">
        <f t="shared" si="135"/>
        <v>0</v>
      </c>
      <c r="X269" s="171">
        <f t="shared" si="136"/>
        <v>0</v>
      </c>
      <c r="Y269" s="171">
        <f t="shared" si="137"/>
        <v>0</v>
      </c>
      <c r="Z269" s="171">
        <f t="shared" si="138"/>
        <v>0</v>
      </c>
      <c r="AA269" s="137"/>
    </row>
    <row r="270" spans="1:27" ht="15.75" x14ac:dyDescent="0.25">
      <c r="A270" s="160" t="s">
        <v>333</v>
      </c>
      <c r="B270" s="161" t="s">
        <v>334</v>
      </c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73"/>
      <c r="V270" s="173"/>
      <c r="W270" s="173"/>
      <c r="X270" s="205">
        <f>SUBTOTAL(9,X271:X275)</f>
        <v>0</v>
      </c>
      <c r="Y270" s="205">
        <f t="shared" ref="Y270:Z270" si="139">SUBTOTAL(9,Y271:Y275)</f>
        <v>0</v>
      </c>
      <c r="Z270" s="205">
        <f t="shared" si="139"/>
        <v>0</v>
      </c>
      <c r="AA270" s="136"/>
    </row>
    <row r="271" spans="1:27" ht="47.25" outlineLevel="1" x14ac:dyDescent="0.25">
      <c r="A271" s="166" t="s">
        <v>335</v>
      </c>
      <c r="B271" s="174" t="s">
        <v>336</v>
      </c>
      <c r="C271" s="175" t="s">
        <v>38</v>
      </c>
      <c r="D271" s="175">
        <f>32.69+21.86+6.54+14.67+5.11+40.19+125.58+22.4+34.84</f>
        <v>303.88</v>
      </c>
      <c r="E271" s="175">
        <f>17.1+16.25+14.95+63.66+91.83+23.63+14.25+35.82+5.7+18.24+28.78+11.04+61.05+40.23</f>
        <v>442.53000000000009</v>
      </c>
      <c r="F271" s="175">
        <f>F273</f>
        <v>276.88</v>
      </c>
      <c r="G271" s="175">
        <f t="shared" ref="G271:M271" si="140">G273</f>
        <v>182.55</v>
      </c>
      <c r="H271" s="175">
        <f t="shared" si="140"/>
        <v>242.49</v>
      </c>
      <c r="I271" s="175">
        <f t="shared" si="140"/>
        <v>440.82000000000005</v>
      </c>
      <c r="J271" s="175">
        <f t="shared" si="140"/>
        <v>308.54000000000002</v>
      </c>
      <c r="K271" s="175">
        <f t="shared" si="140"/>
        <v>389.16000000000008</v>
      </c>
      <c r="L271" s="175">
        <f t="shared" si="140"/>
        <v>517</v>
      </c>
      <c r="M271" s="175">
        <f t="shared" si="140"/>
        <v>680.92</v>
      </c>
      <c r="N271" s="175">
        <f t="shared" ref="N271:S271" si="141">N273</f>
        <v>345.31000000000006</v>
      </c>
      <c r="O271" s="175">
        <f t="shared" si="141"/>
        <v>566.40000000000009</v>
      </c>
      <c r="P271" s="175">
        <f t="shared" si="141"/>
        <v>257.02999999999997</v>
      </c>
      <c r="Q271" s="175">
        <f t="shared" si="141"/>
        <v>377.50000000000006</v>
      </c>
      <c r="R271" s="175">
        <f t="shared" si="141"/>
        <v>318.16999999999996</v>
      </c>
      <c r="S271" s="175">
        <f t="shared" si="141"/>
        <v>422.09000000000003</v>
      </c>
      <c r="T271" s="169">
        <f t="shared" si="125"/>
        <v>6071.2700000000013</v>
      </c>
      <c r="U271" s="170">
        <v>0</v>
      </c>
      <c r="V271" s="170">
        <v>0</v>
      </c>
      <c r="W271" s="171">
        <f t="shared" ref="W271" si="142">V271+U271</f>
        <v>0</v>
      </c>
      <c r="X271" s="171">
        <f t="shared" ref="X271" si="143">$T271*U271</f>
        <v>0</v>
      </c>
      <c r="Y271" s="171">
        <f t="shared" ref="Y271" si="144">$T271*V271</f>
        <v>0</v>
      </c>
      <c r="Z271" s="171">
        <f t="shared" ref="Z271" si="145">Y271+X271</f>
        <v>0</v>
      </c>
      <c r="AA271" s="137"/>
    </row>
    <row r="272" spans="1:27" ht="47.25" outlineLevel="1" x14ac:dyDescent="0.25">
      <c r="A272" s="166" t="s">
        <v>337</v>
      </c>
      <c r="B272" s="167" t="s">
        <v>760</v>
      </c>
      <c r="C272" s="168" t="s">
        <v>38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>
        <v>0</v>
      </c>
      <c r="N272" s="168">
        <v>184.82</v>
      </c>
      <c r="O272" s="168">
        <v>136.72</v>
      </c>
      <c r="P272" s="168">
        <v>0</v>
      </c>
      <c r="Q272" s="168">
        <v>22.97</v>
      </c>
      <c r="R272" s="168">
        <f>63.08</f>
        <v>63.08</v>
      </c>
      <c r="S272" s="168">
        <v>111.01</v>
      </c>
      <c r="T272" s="169">
        <f t="shared" si="125"/>
        <v>518.6</v>
      </c>
      <c r="U272" s="170">
        <v>0</v>
      </c>
      <c r="V272" s="170">
        <v>0</v>
      </c>
      <c r="W272" s="171">
        <f t="shared" ref="W272:W275" si="146">V272+U272</f>
        <v>0</v>
      </c>
      <c r="X272" s="171">
        <f t="shared" ref="X272:X275" si="147">$T272*U272</f>
        <v>0</v>
      </c>
      <c r="Y272" s="171">
        <f t="shared" ref="Y272:Y275" si="148">$T272*V272</f>
        <v>0</v>
      </c>
      <c r="Z272" s="171">
        <f t="shared" ref="Z272:Z275" si="149">Y272+X272</f>
        <v>0</v>
      </c>
      <c r="AA272" s="137"/>
    </row>
    <row r="273" spans="1:27" ht="47.25" outlineLevel="1" x14ac:dyDescent="0.25">
      <c r="A273" s="166" t="s">
        <v>338</v>
      </c>
      <c r="B273" s="174" t="s">
        <v>88</v>
      </c>
      <c r="C273" s="175" t="s">
        <v>38</v>
      </c>
      <c r="D273" s="175">
        <f>D271</f>
        <v>303.88</v>
      </c>
      <c r="E273" s="175">
        <f>E271</f>
        <v>442.53000000000009</v>
      </c>
      <c r="F273" s="175">
        <f>26.75+58.97+31.02+74.43+6.82+13.63+22.52+30.68+12.06</f>
        <v>276.88</v>
      </c>
      <c r="G273" s="175">
        <f>288.26-G290</f>
        <v>182.55</v>
      </c>
      <c r="H273" s="175">
        <v>242.49</v>
      </c>
      <c r="I273" s="175">
        <f>20.33+61.91+17.51+196.58+12.99+60.54+23.22+23.6+24.14</f>
        <v>440.82000000000005</v>
      </c>
      <c r="J273" s="175">
        <f>20.96+13.38+4.15+156.02+2.84+36.94+18.09+48.13+8.03</f>
        <v>308.54000000000002</v>
      </c>
      <c r="K273" s="175">
        <f>27.87+17.63+37.07+92.29+25.87+39.24+103.11+44.42+1.66</f>
        <v>389.16000000000008</v>
      </c>
      <c r="L273" s="175">
        <f>34.36+69.77+46.21+107.72+71.58+124.01+5.11+2.67+43.38+12.19</f>
        <v>517</v>
      </c>
      <c r="M273" s="175">
        <f>60.47+47.74+79.29+70.63+15.34+61.36+30.38+15.34+65.94+21.55+9.69+52.36+62.7+57.45+30.68</f>
        <v>680.92</v>
      </c>
      <c r="N273" s="175">
        <f>24.12+19.13+3.41+68.76+25.56+99.31+31.24+11.97+14.78+22.16+17.78+2.16+4.93</f>
        <v>345.31000000000006</v>
      </c>
      <c r="O273" s="175">
        <f>54.37+87.06+52.78+81.95+32.28+33.28+26.22+52.19+62.61+18.78+41.02+23.86</f>
        <v>566.40000000000009</v>
      </c>
      <c r="P273" s="175">
        <f>10.3+74.77+10.23+61.42+6.82+31.16+7.28+55.05</f>
        <v>257.02999999999997</v>
      </c>
      <c r="Q273" s="175">
        <f>78.4+5.81+42.88+61.7+7.92+21.35+52.31+26.74+47.04+0+15.04+18.31</f>
        <v>377.50000000000006</v>
      </c>
      <c r="R273" s="175">
        <f>11.9+11.61+31.52+27.11+40.75+13+43.74+11.54+52.77+7.46+25.8+0+22.72+18.25</f>
        <v>318.16999999999996</v>
      </c>
      <c r="S273" s="175">
        <f>91.6+40.59+79.45+22.49+9.37+22.29+22.7+13.02+36.42+15.38+68.78</f>
        <v>422.09000000000003</v>
      </c>
      <c r="T273" s="169">
        <f t="shared" si="125"/>
        <v>6071.2700000000013</v>
      </c>
      <c r="U273" s="170">
        <v>0</v>
      </c>
      <c r="V273" s="170">
        <v>0</v>
      </c>
      <c r="W273" s="171">
        <f t="shared" si="146"/>
        <v>0</v>
      </c>
      <c r="X273" s="171">
        <f t="shared" si="147"/>
        <v>0</v>
      </c>
      <c r="Y273" s="171">
        <f t="shared" si="148"/>
        <v>0</v>
      </c>
      <c r="Z273" s="171">
        <f t="shared" si="149"/>
        <v>0</v>
      </c>
      <c r="AA273" s="137"/>
    </row>
    <row r="274" spans="1:27" ht="31.5" outlineLevel="1" x14ac:dyDescent="0.25">
      <c r="A274" s="166" t="s">
        <v>340</v>
      </c>
      <c r="B274" s="167" t="s">
        <v>347</v>
      </c>
      <c r="C274" s="168" t="s">
        <v>38</v>
      </c>
      <c r="D274" s="168">
        <f>44.25</f>
        <v>44.25</v>
      </c>
      <c r="E274" s="168">
        <v>0</v>
      </c>
      <c r="F274" s="168"/>
      <c r="G274" s="168"/>
      <c r="H274" s="168">
        <v>16.39</v>
      </c>
      <c r="I274" s="168">
        <v>15.51</v>
      </c>
      <c r="J274" s="168">
        <v>27.03</v>
      </c>
      <c r="K274" s="168">
        <v>43.07</v>
      </c>
      <c r="L274" s="168">
        <v>123.02</v>
      </c>
      <c r="M274" s="168">
        <v>75.349999999999994</v>
      </c>
      <c r="N274" s="168">
        <v>0</v>
      </c>
      <c r="O274" s="168">
        <v>0</v>
      </c>
      <c r="P274" s="168">
        <v>0</v>
      </c>
      <c r="Q274" s="168">
        <v>0</v>
      </c>
      <c r="R274" s="168">
        <v>0</v>
      </c>
      <c r="S274" s="168">
        <v>0</v>
      </c>
      <c r="T274" s="169">
        <f t="shared" si="125"/>
        <v>344.62</v>
      </c>
      <c r="U274" s="170">
        <v>0</v>
      </c>
      <c r="V274" s="170">
        <v>0</v>
      </c>
      <c r="W274" s="171">
        <f t="shared" si="146"/>
        <v>0</v>
      </c>
      <c r="X274" s="171">
        <f t="shared" si="147"/>
        <v>0</v>
      </c>
      <c r="Y274" s="171">
        <f t="shared" si="148"/>
        <v>0</v>
      </c>
      <c r="Z274" s="171">
        <f t="shared" si="149"/>
        <v>0</v>
      </c>
      <c r="AA274" s="137"/>
    </row>
    <row r="275" spans="1:27" ht="47.25" outlineLevel="1" x14ac:dyDescent="0.25">
      <c r="A275" s="166" t="s">
        <v>342</v>
      </c>
      <c r="B275" s="167" t="s">
        <v>349</v>
      </c>
      <c r="C275" s="168" t="s">
        <v>38</v>
      </c>
      <c r="D275" s="168">
        <v>0</v>
      </c>
      <c r="E275" s="168">
        <v>0</v>
      </c>
      <c r="F275" s="168"/>
      <c r="G275" s="168"/>
      <c r="H275" s="168"/>
      <c r="I275" s="168">
        <f>596.45*0.15*1.15</f>
        <v>102.887625</v>
      </c>
      <c r="J275" s="168">
        <f>532.6*0.15*1.15</f>
        <v>91.873499999999993</v>
      </c>
      <c r="K275" s="168">
        <f>455.64*0.15*1.15</f>
        <v>78.597899999999981</v>
      </c>
      <c r="L275" s="168">
        <f>520.22*0.15*1.15</f>
        <v>89.737949999999998</v>
      </c>
      <c r="M275" s="168">
        <f>487.67*0.15*1.15</f>
        <v>84.123074999999986</v>
      </c>
      <c r="N275" s="168">
        <v>0</v>
      </c>
      <c r="O275" s="168">
        <v>0</v>
      </c>
      <c r="P275" s="168">
        <v>0</v>
      </c>
      <c r="Q275" s="168">
        <v>0</v>
      </c>
      <c r="R275" s="168">
        <v>0</v>
      </c>
      <c r="S275" s="168">
        <v>0</v>
      </c>
      <c r="T275" s="169">
        <f t="shared" si="125"/>
        <v>447.22004999999996</v>
      </c>
      <c r="U275" s="170">
        <v>0</v>
      </c>
      <c r="V275" s="170">
        <v>0</v>
      </c>
      <c r="W275" s="171">
        <f t="shared" si="146"/>
        <v>0</v>
      </c>
      <c r="X275" s="171">
        <f t="shared" si="147"/>
        <v>0</v>
      </c>
      <c r="Y275" s="171">
        <f t="shared" si="148"/>
        <v>0</v>
      </c>
      <c r="Z275" s="171">
        <f t="shared" si="149"/>
        <v>0</v>
      </c>
      <c r="AA275" s="137"/>
    </row>
    <row r="276" spans="1:27" ht="63" x14ac:dyDescent="0.25">
      <c r="A276" s="160" t="s">
        <v>350</v>
      </c>
      <c r="B276" s="161" t="s">
        <v>460</v>
      </c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86"/>
      <c r="V276" s="186"/>
      <c r="W276" s="165"/>
      <c r="X276" s="205">
        <f>SUBTOTAL(9,X277:X280)</f>
        <v>0</v>
      </c>
      <c r="Y276" s="205">
        <f t="shared" ref="Y276:Z276" si="150">SUBTOTAL(9,Y277:Y280)</f>
        <v>0</v>
      </c>
      <c r="Z276" s="205">
        <f t="shared" si="150"/>
        <v>0</v>
      </c>
      <c r="AA276" s="136"/>
    </row>
    <row r="277" spans="1:27" ht="47.25" outlineLevel="1" x14ac:dyDescent="0.25">
      <c r="A277" s="166" t="s">
        <v>352</v>
      </c>
      <c r="B277" s="187" t="s">
        <v>926</v>
      </c>
      <c r="C277" s="168" t="s">
        <v>102</v>
      </c>
      <c r="D277" s="168">
        <f>86*0.35</f>
        <v>30.099999999999998</v>
      </c>
      <c r="E277" s="168">
        <f>75*0.35</f>
        <v>26.25</v>
      </c>
      <c r="F277" s="168">
        <v>784.12</v>
      </c>
      <c r="G277" s="270">
        <v>1464.78</v>
      </c>
      <c r="H277" s="271"/>
      <c r="I277" s="272">
        <f>74.12+8.8+8.1+7.3+15.09+14.4+15.09+15.29+13.8+15.3+12.9+12.9+12.9+123.87+23.18+0.69+330.81+22.84+21.52+21.54+21.41+103.67+10.91+9.57+12.37+12.37+22.8+22.82+58.64+14.02+25.92+116.61+21.8+22.15+21.68+23.74+38.45+11.24+20.91+12.48+50.74+22.12+30.17+13.27+9.92+12.3+28.47+14.24+13.52+13.54+13.32+7.24+7.01+31.09+30.86+19.49+12.12+48.92+7.24+7.01+13.54+13.32+13.26+13.56+14.19+28.46+51.79+87.83+14.16+16.46+13.94+13.8+13.77+14.16+16.46+13.8+15.44+13.73+7.9+10.22+8.87+7.54+7.49</f>
        <v>2190.2799999999997</v>
      </c>
      <c r="J277" s="272"/>
      <c r="K277" s="272"/>
      <c r="L277" s="272">
        <f>430.26+1.36+10.94+11.2+21.65+18.52+21.99+20.5+22.02+8.78+6.88+9.18+8.84+9.14+8.74+7.16+9.14+9.14+9.1+15.04+14.59+15.07+14.6+98.75+35.35+34.74+35.34+77.94+97.91+14.62+17.25+15.1+15.18+14.68+26.78+21.52+2+9.54+9.62+15.5+7.58+5.23+4.16+2.88+17.03+4.07+1.77+12.06+13.3+12.06+20.44</f>
        <v>1346.2399999999998</v>
      </c>
      <c r="M277" s="272"/>
      <c r="N277" s="168">
        <f>161*0.35</f>
        <v>56.349999999999994</v>
      </c>
      <c r="O277" s="168">
        <f>182*0.35</f>
        <v>63.699999999999996</v>
      </c>
      <c r="P277" s="168">
        <f>69*0.35</f>
        <v>24.15</v>
      </c>
      <c r="Q277" s="168">
        <f>148*0.35</f>
        <v>51.8</v>
      </c>
      <c r="R277" s="168">
        <f>184*0.35</f>
        <v>64.399999999999991</v>
      </c>
      <c r="S277" s="168">
        <f>135*0.35</f>
        <v>47.25</v>
      </c>
      <c r="T277" s="169">
        <f t="shared" si="125"/>
        <v>6149.4199999999992</v>
      </c>
      <c r="U277" s="170">
        <v>0</v>
      </c>
      <c r="V277" s="170">
        <v>0</v>
      </c>
      <c r="W277" s="171">
        <f t="shared" ref="W277" si="151">V277+U277</f>
        <v>0</v>
      </c>
      <c r="X277" s="171">
        <f t="shared" ref="X277" si="152">$T277*U277</f>
        <v>0</v>
      </c>
      <c r="Y277" s="171">
        <f t="shared" ref="Y277" si="153">$T277*V277</f>
        <v>0</v>
      </c>
      <c r="Z277" s="171">
        <f t="shared" ref="Z277" si="154">Y277+X277</f>
        <v>0</v>
      </c>
      <c r="AA277" s="137"/>
    </row>
    <row r="278" spans="1:27" ht="15.75" outlineLevel="1" x14ac:dyDescent="0.25">
      <c r="A278" s="166" t="s">
        <v>354</v>
      </c>
      <c r="B278" s="187" t="s">
        <v>461</v>
      </c>
      <c r="C278" s="168" t="s">
        <v>102</v>
      </c>
      <c r="D278" s="168">
        <f t="shared" ref="D278:R278" si="155">D277</f>
        <v>30.099999999999998</v>
      </c>
      <c r="E278" s="168">
        <f t="shared" si="155"/>
        <v>26.25</v>
      </c>
      <c r="F278" s="168">
        <v>784.12</v>
      </c>
      <c r="G278" s="270">
        <v>1464.78</v>
      </c>
      <c r="H278" s="271"/>
      <c r="I278" s="272">
        <f>I277</f>
        <v>2190.2799999999997</v>
      </c>
      <c r="J278" s="272"/>
      <c r="K278" s="272"/>
      <c r="L278" s="272">
        <f>L277</f>
        <v>1346.2399999999998</v>
      </c>
      <c r="M278" s="272"/>
      <c r="N278" s="168">
        <f t="shared" si="155"/>
        <v>56.349999999999994</v>
      </c>
      <c r="O278" s="168">
        <f t="shared" si="155"/>
        <v>63.699999999999996</v>
      </c>
      <c r="P278" s="168">
        <f t="shared" si="155"/>
        <v>24.15</v>
      </c>
      <c r="Q278" s="168">
        <f t="shared" si="155"/>
        <v>51.8</v>
      </c>
      <c r="R278" s="168">
        <f t="shared" si="155"/>
        <v>64.399999999999991</v>
      </c>
      <c r="S278" s="168">
        <f>S277</f>
        <v>47.25</v>
      </c>
      <c r="T278" s="169">
        <f t="shared" si="125"/>
        <v>6149.4199999999992</v>
      </c>
      <c r="U278" s="170">
        <v>0</v>
      </c>
      <c r="V278" s="170">
        <v>0</v>
      </c>
      <c r="W278" s="171">
        <f t="shared" ref="W278:W280" si="156">V278+U278</f>
        <v>0</v>
      </c>
      <c r="X278" s="171">
        <f t="shared" ref="X278:X280" si="157">$T278*U278</f>
        <v>0</v>
      </c>
      <c r="Y278" s="171">
        <f t="shared" ref="Y278:Y280" si="158">$T278*V278</f>
        <v>0</v>
      </c>
      <c r="Z278" s="171">
        <f t="shared" ref="Z278:Z280" si="159">Y278+X278</f>
        <v>0</v>
      </c>
      <c r="AA278" s="137"/>
    </row>
    <row r="279" spans="1:27" ht="47.25" outlineLevel="1" x14ac:dyDescent="0.25">
      <c r="A279" s="166" t="s">
        <v>464</v>
      </c>
      <c r="B279" s="187" t="s">
        <v>926</v>
      </c>
      <c r="C279" s="168" t="s">
        <v>102</v>
      </c>
      <c r="D279" s="168">
        <f t="shared" ref="D279:R279" si="160">D277</f>
        <v>30.099999999999998</v>
      </c>
      <c r="E279" s="168">
        <f t="shared" si="160"/>
        <v>26.25</v>
      </c>
      <c r="F279" s="168">
        <v>784.12</v>
      </c>
      <c r="G279" s="270">
        <v>1464.78</v>
      </c>
      <c r="H279" s="271"/>
      <c r="I279" s="272">
        <f>I277</f>
        <v>2190.2799999999997</v>
      </c>
      <c r="J279" s="272"/>
      <c r="K279" s="272"/>
      <c r="L279" s="272">
        <f>L277</f>
        <v>1346.2399999999998</v>
      </c>
      <c r="M279" s="272"/>
      <c r="N279" s="168">
        <f t="shared" si="160"/>
        <v>56.349999999999994</v>
      </c>
      <c r="O279" s="168">
        <f t="shared" si="160"/>
        <v>63.699999999999996</v>
      </c>
      <c r="P279" s="168">
        <f t="shared" si="160"/>
        <v>24.15</v>
      </c>
      <c r="Q279" s="168">
        <f t="shared" si="160"/>
        <v>51.8</v>
      </c>
      <c r="R279" s="168">
        <f t="shared" si="160"/>
        <v>64.399999999999991</v>
      </c>
      <c r="S279" s="168">
        <f>S277</f>
        <v>47.25</v>
      </c>
      <c r="T279" s="169">
        <f t="shared" si="125"/>
        <v>6149.4199999999992</v>
      </c>
      <c r="U279" s="170">
        <v>0</v>
      </c>
      <c r="V279" s="170">
        <v>0</v>
      </c>
      <c r="W279" s="171">
        <f t="shared" si="156"/>
        <v>0</v>
      </c>
      <c r="X279" s="171">
        <f t="shared" si="157"/>
        <v>0</v>
      </c>
      <c r="Y279" s="171">
        <f t="shared" si="158"/>
        <v>0</v>
      </c>
      <c r="Z279" s="171">
        <f t="shared" si="159"/>
        <v>0</v>
      </c>
      <c r="AA279" s="137"/>
    </row>
    <row r="280" spans="1:27" ht="15.75" outlineLevel="1" x14ac:dyDescent="0.25">
      <c r="A280" s="166" t="s">
        <v>465</v>
      </c>
      <c r="B280" s="187" t="s">
        <v>462</v>
      </c>
      <c r="C280" s="168" t="s">
        <v>102</v>
      </c>
      <c r="D280" s="168">
        <f t="shared" ref="D280:R280" si="161">D277</f>
        <v>30.099999999999998</v>
      </c>
      <c r="E280" s="168">
        <f t="shared" si="161"/>
        <v>26.25</v>
      </c>
      <c r="F280" s="168">
        <v>784.12</v>
      </c>
      <c r="G280" s="270">
        <v>1464.78</v>
      </c>
      <c r="H280" s="271"/>
      <c r="I280" s="272">
        <f>I277</f>
        <v>2190.2799999999997</v>
      </c>
      <c r="J280" s="272"/>
      <c r="K280" s="272"/>
      <c r="L280" s="272">
        <f>L277</f>
        <v>1346.2399999999998</v>
      </c>
      <c r="M280" s="272"/>
      <c r="N280" s="168">
        <f t="shared" si="161"/>
        <v>56.349999999999994</v>
      </c>
      <c r="O280" s="168">
        <f t="shared" si="161"/>
        <v>63.699999999999996</v>
      </c>
      <c r="P280" s="168">
        <f t="shared" si="161"/>
        <v>24.15</v>
      </c>
      <c r="Q280" s="168">
        <f t="shared" si="161"/>
        <v>51.8</v>
      </c>
      <c r="R280" s="168">
        <f t="shared" si="161"/>
        <v>64.399999999999991</v>
      </c>
      <c r="S280" s="168">
        <f>S277</f>
        <v>47.25</v>
      </c>
      <c r="T280" s="169">
        <f t="shared" si="125"/>
        <v>6149.4199999999992</v>
      </c>
      <c r="U280" s="170">
        <v>0</v>
      </c>
      <c r="V280" s="170">
        <v>0</v>
      </c>
      <c r="W280" s="171">
        <f t="shared" si="156"/>
        <v>0</v>
      </c>
      <c r="X280" s="171">
        <f t="shared" si="157"/>
        <v>0</v>
      </c>
      <c r="Y280" s="171">
        <f t="shared" si="158"/>
        <v>0</v>
      </c>
      <c r="Z280" s="171">
        <f t="shared" si="159"/>
        <v>0</v>
      </c>
      <c r="AA280" s="137"/>
    </row>
    <row r="281" spans="1:27" ht="15.75" x14ac:dyDescent="0.25">
      <c r="A281" s="160" t="s">
        <v>356</v>
      </c>
      <c r="B281" s="161" t="s">
        <v>351</v>
      </c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73"/>
      <c r="V281" s="173"/>
      <c r="W281" s="173"/>
      <c r="X281" s="205">
        <f>SUBTOTAL(9,X282:X283)</f>
        <v>0</v>
      </c>
      <c r="Y281" s="205">
        <f t="shared" ref="Y281:Z281" si="162">SUBTOTAL(9,Y282:Y283)</f>
        <v>0</v>
      </c>
      <c r="Z281" s="205">
        <f t="shared" si="162"/>
        <v>0</v>
      </c>
      <c r="AA281" s="136"/>
    </row>
    <row r="282" spans="1:27" ht="47.25" outlineLevel="1" x14ac:dyDescent="0.25">
      <c r="A282" s="166" t="s">
        <v>358</v>
      </c>
      <c r="B282" s="167" t="s">
        <v>353</v>
      </c>
      <c r="C282" s="168" t="s">
        <v>102</v>
      </c>
      <c r="D282" s="168">
        <f>1.2*9+1.2*9+0.95*18+0.85*9+1.8*89+1.4*27+1.2*9+1.8*1+2.5+1.8*2+2.5*9+2.4*6+2.4*3</f>
        <v>307.15000000000003</v>
      </c>
      <c r="E282" s="168">
        <f>0.95*54+1.8*97+1.2*27+2.5*18+2.9*18+0.9*9+1.8*16+0.43*23+0.43*4+0.73*9</f>
        <v>410.58</v>
      </c>
      <c r="F282" s="168">
        <f>0.95*8+1.2*17+1.8*72+0.75*8+0.9*40+0.95*1+1.2*1+1.8*8+1.8*1+0.75*1+0.9*3</f>
        <v>221.39999999999998</v>
      </c>
      <c r="G282" s="168">
        <v>456.5</v>
      </c>
      <c r="H282" s="168">
        <v>531.45000000000005</v>
      </c>
      <c r="I282" s="168">
        <v>611.85</v>
      </c>
      <c r="J282" s="168">
        <v>452.5</v>
      </c>
      <c r="K282" s="168">
        <v>737.4</v>
      </c>
      <c r="L282" s="168">
        <v>480.4</v>
      </c>
      <c r="M282" s="168">
        <v>629.95000000000005</v>
      </c>
      <c r="N282" s="168">
        <f>1.8*154+1.4*15+1.2*28+0.95+3.6+1.4*60+28+2.5*13+2.9*13+2.4*13</f>
        <v>549.75000000000011</v>
      </c>
      <c r="O282" s="168">
        <f>1.8*239+1.4*30+0.95*32+1.8*2+1.8*43+2.5*14+2.9*15+1.8*2</f>
        <v>665.7</v>
      </c>
      <c r="P282" s="168">
        <f>1.2*17+1.8*69+25+3.6+3.6+2.5*24+2.4*8+0.9*8</f>
        <v>263.2</v>
      </c>
      <c r="Q282" s="168">
        <f>1.8*181+1.2*30+0.95*60+2.9+2.5*28+2.9*15</f>
        <v>535.20000000000005</v>
      </c>
      <c r="R282" s="168">
        <f>1.8*255+1.4*15+0.95*60+0.65*7+2.5*43</f>
        <v>649.04999999999995</v>
      </c>
      <c r="S282" s="168">
        <f>0.95*15+1.8*165+1.2*31+2.9+1.4+2.4+1.8*28+2.5*28+2.4*14+2.9*14</f>
        <v>549.74999999999989</v>
      </c>
      <c r="T282" s="169">
        <f t="shared" si="125"/>
        <v>8051.83</v>
      </c>
      <c r="U282" s="170">
        <v>0</v>
      </c>
      <c r="V282" s="170">
        <v>0</v>
      </c>
      <c r="W282" s="171">
        <f t="shared" ref="W282:W283" si="163">V282+U282</f>
        <v>0</v>
      </c>
      <c r="X282" s="171">
        <f t="shared" ref="X282:X283" si="164">$T282*U282</f>
        <v>0</v>
      </c>
      <c r="Y282" s="171">
        <f t="shared" ref="Y282:Y283" si="165">$T282*V282</f>
        <v>0</v>
      </c>
      <c r="Z282" s="171">
        <f t="shared" ref="Z282:Z283" si="166">Y282+X282</f>
        <v>0</v>
      </c>
      <c r="AA282" s="137"/>
    </row>
    <row r="283" spans="1:27" ht="63" outlineLevel="1" x14ac:dyDescent="0.25">
      <c r="A283" s="166" t="s">
        <v>360</v>
      </c>
      <c r="B283" s="167" t="s">
        <v>355</v>
      </c>
      <c r="C283" s="168" t="s">
        <v>102</v>
      </c>
      <c r="D283" s="168"/>
      <c r="E283" s="168"/>
      <c r="F283" s="168"/>
      <c r="G283" s="168"/>
      <c r="H283" s="168">
        <v>30.4</v>
      </c>
      <c r="I283" s="168"/>
      <c r="J283" s="168"/>
      <c r="K283" s="168"/>
      <c r="L283" s="168">
        <v>118.81</v>
      </c>
      <c r="M283" s="168">
        <v>56.26</v>
      </c>
      <c r="N283" s="168"/>
      <c r="O283" s="168"/>
      <c r="P283" s="168"/>
      <c r="Q283" s="168"/>
      <c r="R283" s="168"/>
      <c r="S283" s="168"/>
      <c r="T283" s="169">
        <f t="shared" si="125"/>
        <v>205.47</v>
      </c>
      <c r="U283" s="170">
        <v>0</v>
      </c>
      <c r="V283" s="170">
        <v>0</v>
      </c>
      <c r="W283" s="171">
        <f t="shared" si="163"/>
        <v>0</v>
      </c>
      <c r="X283" s="171">
        <f t="shared" si="164"/>
        <v>0</v>
      </c>
      <c r="Y283" s="171">
        <f t="shared" si="165"/>
        <v>0</v>
      </c>
      <c r="Z283" s="171">
        <f t="shared" si="166"/>
        <v>0</v>
      </c>
      <c r="AA283" s="137"/>
    </row>
    <row r="284" spans="1:27" ht="27" customHeight="1" x14ac:dyDescent="0.25">
      <c r="A284" s="160" t="s">
        <v>364</v>
      </c>
      <c r="B284" s="161" t="s">
        <v>912</v>
      </c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73"/>
      <c r="V284" s="173"/>
      <c r="W284" s="173"/>
      <c r="X284" s="205">
        <f>SUBTOTAL(9,X286:X294)</f>
        <v>0</v>
      </c>
      <c r="Y284" s="205">
        <f t="shared" ref="Y284:Z284" si="167">SUBTOTAL(9,Y286:Y294)</f>
        <v>0</v>
      </c>
      <c r="Z284" s="205">
        <f t="shared" si="167"/>
        <v>0</v>
      </c>
      <c r="AA284" s="136"/>
    </row>
    <row r="285" spans="1:27" ht="15.75" outlineLevel="1" x14ac:dyDescent="0.25">
      <c r="A285" s="183" t="s">
        <v>913</v>
      </c>
      <c r="B285" s="188" t="s">
        <v>60</v>
      </c>
      <c r="C285" s="189" t="s">
        <v>38</v>
      </c>
      <c r="D285" s="189">
        <f>D290+D291</f>
        <v>470.39</v>
      </c>
      <c r="E285" s="189">
        <f t="shared" ref="E285:S285" si="168">E290+E291</f>
        <v>1358.51</v>
      </c>
      <c r="F285" s="189">
        <f t="shared" si="168"/>
        <v>1125.95</v>
      </c>
      <c r="G285" s="189">
        <f t="shared" si="168"/>
        <v>1243.4000000000001</v>
      </c>
      <c r="H285" s="189">
        <f t="shared" si="168"/>
        <v>499.27</v>
      </c>
      <c r="I285" s="189">
        <f t="shared" si="168"/>
        <v>2015.04</v>
      </c>
      <c r="J285" s="189">
        <f t="shared" si="168"/>
        <v>1881.9699999999998</v>
      </c>
      <c r="K285" s="189">
        <f t="shared" si="168"/>
        <v>1442.02</v>
      </c>
      <c r="L285" s="189">
        <f t="shared" si="168"/>
        <v>376.57</v>
      </c>
      <c r="M285" s="189">
        <f t="shared" si="168"/>
        <v>431.53000000000003</v>
      </c>
      <c r="N285" s="189">
        <f t="shared" si="168"/>
        <v>2100.37</v>
      </c>
      <c r="O285" s="189">
        <f t="shared" si="168"/>
        <v>1540.6100000000001</v>
      </c>
      <c r="P285" s="189">
        <f t="shared" si="168"/>
        <v>910.44</v>
      </c>
      <c r="Q285" s="189">
        <f t="shared" si="168"/>
        <v>947.72</v>
      </c>
      <c r="R285" s="189">
        <f t="shared" si="168"/>
        <v>932.38</v>
      </c>
      <c r="S285" s="189">
        <f t="shared" si="168"/>
        <v>1810.26</v>
      </c>
      <c r="T285" s="169">
        <f t="shared" si="125"/>
        <v>19086.43</v>
      </c>
      <c r="U285" s="170">
        <v>0</v>
      </c>
      <c r="V285" s="170">
        <v>0</v>
      </c>
      <c r="W285" s="171">
        <f t="shared" ref="W285" si="169">V285+U285</f>
        <v>0</v>
      </c>
      <c r="X285" s="171">
        <f t="shared" ref="X285" si="170">$T285*U285</f>
        <v>0</v>
      </c>
      <c r="Y285" s="171">
        <f t="shared" ref="Y285" si="171">$T285*V285</f>
        <v>0</v>
      </c>
      <c r="Z285" s="171">
        <f t="shared" ref="Z285" si="172">Y285+X285</f>
        <v>0</v>
      </c>
      <c r="AA285" s="137"/>
    </row>
    <row r="286" spans="1:27" ht="47.25" outlineLevel="1" x14ac:dyDescent="0.25">
      <c r="A286" s="183" t="s">
        <v>914</v>
      </c>
      <c r="B286" s="167" t="s">
        <v>359</v>
      </c>
      <c r="C286" s="190" t="s">
        <v>21</v>
      </c>
      <c r="D286" s="190">
        <v>0</v>
      </c>
      <c r="E286" s="190">
        <v>0</v>
      </c>
      <c r="F286" s="190">
        <v>0</v>
      </c>
      <c r="G286" s="190">
        <v>0</v>
      </c>
      <c r="H286" s="190"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190">
        <v>0</v>
      </c>
      <c r="O286" s="168">
        <v>0</v>
      </c>
      <c r="P286" s="168">
        <v>6.31</v>
      </c>
      <c r="Q286" s="168">
        <v>0</v>
      </c>
      <c r="R286" s="168">
        <v>0</v>
      </c>
      <c r="S286" s="168">
        <v>0</v>
      </c>
      <c r="T286" s="169">
        <f t="shared" si="125"/>
        <v>6.31</v>
      </c>
      <c r="U286" s="170">
        <v>0</v>
      </c>
      <c r="V286" s="170">
        <v>0</v>
      </c>
      <c r="W286" s="171">
        <f t="shared" ref="W286:W294" si="173">V286+U286</f>
        <v>0</v>
      </c>
      <c r="X286" s="171">
        <f t="shared" ref="X286:X294" si="174">$T286*U286</f>
        <v>0</v>
      </c>
      <c r="Y286" s="171">
        <f t="shared" ref="Y286:Y294" si="175">$T286*V286</f>
        <v>0</v>
      </c>
      <c r="Z286" s="171">
        <f t="shared" ref="Z286:Z294" si="176">Y286+X286</f>
        <v>0</v>
      </c>
      <c r="AA286" s="137"/>
    </row>
    <row r="287" spans="1:27" ht="47.25" outlineLevel="1" x14ac:dyDescent="0.25">
      <c r="A287" s="183" t="s">
        <v>915</v>
      </c>
      <c r="B287" s="167" t="s">
        <v>361</v>
      </c>
      <c r="C287" s="190" t="s">
        <v>21</v>
      </c>
      <c r="D287" s="190">
        <v>47.62</v>
      </c>
      <c r="E287" s="190">
        <v>84.22</v>
      </c>
      <c r="F287" s="190">
        <v>56.63</v>
      </c>
      <c r="G287" s="190">
        <v>93.95</v>
      </c>
      <c r="H287" s="190">
        <v>20.36</v>
      </c>
      <c r="I287" s="190">
        <v>139.43</v>
      </c>
      <c r="J287" s="190">
        <v>149.22</v>
      </c>
      <c r="K287" s="190">
        <v>87.18</v>
      </c>
      <c r="L287" s="190">
        <v>0.55000000000000004</v>
      </c>
      <c r="M287" s="190">
        <v>1.59</v>
      </c>
      <c r="N287" s="190">
        <f>1.98+112.28</f>
        <v>114.26</v>
      </c>
      <c r="O287" s="168">
        <f>0.5+95</f>
        <v>95.5</v>
      </c>
      <c r="P287" s="168">
        <v>55.16</v>
      </c>
      <c r="Q287" s="168">
        <v>1.18</v>
      </c>
      <c r="R287" s="168">
        <v>1.22</v>
      </c>
      <c r="S287" s="168">
        <v>164.17</v>
      </c>
      <c r="T287" s="169">
        <f t="shared" si="125"/>
        <v>1112.24</v>
      </c>
      <c r="U287" s="170">
        <v>0</v>
      </c>
      <c r="V287" s="170">
        <v>0</v>
      </c>
      <c r="W287" s="171">
        <f t="shared" si="173"/>
        <v>0</v>
      </c>
      <c r="X287" s="171">
        <f t="shared" si="174"/>
        <v>0</v>
      </c>
      <c r="Y287" s="171">
        <f t="shared" si="175"/>
        <v>0</v>
      </c>
      <c r="Z287" s="171">
        <f t="shared" si="176"/>
        <v>0</v>
      </c>
      <c r="AA287" s="137"/>
    </row>
    <row r="288" spans="1:27" ht="47.25" outlineLevel="1" x14ac:dyDescent="0.25">
      <c r="A288" s="183" t="s">
        <v>916</v>
      </c>
      <c r="B288" s="167" t="s">
        <v>806</v>
      </c>
      <c r="C288" s="190" t="s">
        <v>21</v>
      </c>
      <c r="D288" s="190">
        <v>0</v>
      </c>
      <c r="E288" s="190">
        <v>0</v>
      </c>
      <c r="F288" s="190">
        <v>0</v>
      </c>
      <c r="G288" s="190">
        <v>0</v>
      </c>
      <c r="H288" s="190">
        <v>0</v>
      </c>
      <c r="I288" s="190">
        <v>0</v>
      </c>
      <c r="J288" s="190">
        <v>0</v>
      </c>
      <c r="K288" s="190">
        <v>0</v>
      </c>
      <c r="L288" s="190">
        <v>14.61</v>
      </c>
      <c r="M288" s="190">
        <v>11.47</v>
      </c>
      <c r="N288" s="190">
        <v>0</v>
      </c>
      <c r="O288" s="168">
        <v>0</v>
      </c>
      <c r="P288" s="168">
        <v>1.4</v>
      </c>
      <c r="Q288" s="168">
        <v>0</v>
      </c>
      <c r="R288" s="168">
        <v>0</v>
      </c>
      <c r="S288" s="168">
        <v>2.75</v>
      </c>
      <c r="T288" s="169">
        <f t="shared" si="125"/>
        <v>30.229999999999997</v>
      </c>
      <c r="U288" s="170">
        <v>0</v>
      </c>
      <c r="V288" s="170">
        <v>0</v>
      </c>
      <c r="W288" s="171">
        <f t="shared" si="173"/>
        <v>0</v>
      </c>
      <c r="X288" s="171">
        <f t="shared" si="174"/>
        <v>0</v>
      </c>
      <c r="Y288" s="171">
        <f t="shared" si="175"/>
        <v>0</v>
      </c>
      <c r="Z288" s="171">
        <f t="shared" si="176"/>
        <v>0</v>
      </c>
      <c r="AA288" s="137"/>
    </row>
    <row r="289" spans="1:27" ht="47.25" outlineLevel="1" x14ac:dyDescent="0.25">
      <c r="A289" s="183" t="s">
        <v>917</v>
      </c>
      <c r="B289" s="174" t="s">
        <v>336</v>
      </c>
      <c r="C289" s="175" t="s">
        <v>38</v>
      </c>
      <c r="D289" s="189">
        <v>60.41</v>
      </c>
      <c r="E289" s="189">
        <v>158.26</v>
      </c>
      <c r="F289" s="189">
        <v>153.58000000000001</v>
      </c>
      <c r="G289" s="189">
        <v>105.71</v>
      </c>
      <c r="H289" s="189">
        <v>44.7</v>
      </c>
      <c r="I289" s="189">
        <v>176.43</v>
      </c>
      <c r="J289" s="189">
        <v>157.85</v>
      </c>
      <c r="K289" s="189">
        <v>121.5</v>
      </c>
      <c r="L289" s="189">
        <v>46.21</v>
      </c>
      <c r="M289" s="189">
        <v>79.290000000000006</v>
      </c>
      <c r="N289" s="189">
        <f>329.48</f>
        <v>329.48</v>
      </c>
      <c r="O289" s="175">
        <v>155.19999999999999</v>
      </c>
      <c r="P289" s="175">
        <f>135.61</f>
        <v>135.61000000000001</v>
      </c>
      <c r="Q289" s="175">
        <v>74.819999999999993</v>
      </c>
      <c r="R289" s="175">
        <v>87.25</v>
      </c>
      <c r="S289" s="175">
        <v>247.71</v>
      </c>
      <c r="T289" s="169">
        <f t="shared" si="125"/>
        <v>2134.0099999999998</v>
      </c>
      <c r="U289" s="170">
        <v>0</v>
      </c>
      <c r="V289" s="170">
        <v>0</v>
      </c>
      <c r="W289" s="171">
        <f t="shared" si="173"/>
        <v>0</v>
      </c>
      <c r="X289" s="171">
        <f t="shared" si="174"/>
        <v>0</v>
      </c>
      <c r="Y289" s="171">
        <f t="shared" si="175"/>
        <v>0</v>
      </c>
      <c r="Z289" s="171">
        <f t="shared" si="176"/>
        <v>0</v>
      </c>
      <c r="AA289" s="137"/>
    </row>
    <row r="290" spans="1:27" ht="63" outlineLevel="1" x14ac:dyDescent="0.25">
      <c r="A290" s="183" t="s">
        <v>918</v>
      </c>
      <c r="B290" s="174" t="s">
        <v>911</v>
      </c>
      <c r="C290" s="175" t="s">
        <v>38</v>
      </c>
      <c r="D290" s="189">
        <f>D289</f>
        <v>60.41</v>
      </c>
      <c r="E290" s="189">
        <f t="shared" ref="E290:M290" si="177">E289</f>
        <v>158.26</v>
      </c>
      <c r="F290" s="189">
        <f t="shared" si="177"/>
        <v>153.58000000000001</v>
      </c>
      <c r="G290" s="189">
        <f t="shared" si="177"/>
        <v>105.71</v>
      </c>
      <c r="H290" s="189">
        <f t="shared" si="177"/>
        <v>44.7</v>
      </c>
      <c r="I290" s="189">
        <f t="shared" si="177"/>
        <v>176.43</v>
      </c>
      <c r="J290" s="189">
        <f t="shared" si="177"/>
        <v>157.85</v>
      </c>
      <c r="K290" s="189">
        <f t="shared" si="177"/>
        <v>121.5</v>
      </c>
      <c r="L290" s="189">
        <f t="shared" si="177"/>
        <v>46.21</v>
      </c>
      <c r="M290" s="189">
        <f t="shared" si="177"/>
        <v>79.290000000000006</v>
      </c>
      <c r="N290" s="189">
        <f t="shared" ref="N290:S290" si="178">N289</f>
        <v>329.48</v>
      </c>
      <c r="O290" s="175">
        <f t="shared" si="178"/>
        <v>155.19999999999999</v>
      </c>
      <c r="P290" s="175">
        <f t="shared" si="178"/>
        <v>135.61000000000001</v>
      </c>
      <c r="Q290" s="175">
        <f t="shared" si="178"/>
        <v>74.819999999999993</v>
      </c>
      <c r="R290" s="175">
        <f t="shared" si="178"/>
        <v>87.25</v>
      </c>
      <c r="S290" s="175">
        <f t="shared" si="178"/>
        <v>247.71</v>
      </c>
      <c r="T290" s="169">
        <f t="shared" si="125"/>
        <v>2134.0099999999998</v>
      </c>
      <c r="U290" s="170">
        <v>0</v>
      </c>
      <c r="V290" s="170">
        <v>0</v>
      </c>
      <c r="W290" s="171">
        <f t="shared" si="173"/>
        <v>0</v>
      </c>
      <c r="X290" s="171">
        <f t="shared" si="174"/>
        <v>0</v>
      </c>
      <c r="Y290" s="171">
        <f t="shared" si="175"/>
        <v>0</v>
      </c>
      <c r="Z290" s="171">
        <f t="shared" si="176"/>
        <v>0</v>
      </c>
      <c r="AA290" s="137"/>
    </row>
    <row r="291" spans="1:27" ht="78.75" outlineLevel="1" x14ac:dyDescent="0.25">
      <c r="A291" s="183" t="s">
        <v>919</v>
      </c>
      <c r="B291" s="187" t="s">
        <v>86</v>
      </c>
      <c r="C291" s="190" t="s">
        <v>38</v>
      </c>
      <c r="D291" s="190">
        <f t="shared" ref="D291:R291" si="179">D292</f>
        <v>409.98</v>
      </c>
      <c r="E291" s="190">
        <f t="shared" si="179"/>
        <v>1200.25</v>
      </c>
      <c r="F291" s="190">
        <f t="shared" si="179"/>
        <v>972.37</v>
      </c>
      <c r="G291" s="190">
        <f t="shared" si="179"/>
        <v>1137.69</v>
      </c>
      <c r="H291" s="190">
        <f t="shared" si="179"/>
        <v>454.57</v>
      </c>
      <c r="I291" s="190">
        <f t="shared" si="179"/>
        <v>1838.61</v>
      </c>
      <c r="J291" s="190">
        <f t="shared" si="179"/>
        <v>1724.12</v>
      </c>
      <c r="K291" s="190">
        <f t="shared" si="179"/>
        <v>1320.52</v>
      </c>
      <c r="L291" s="190">
        <f t="shared" si="179"/>
        <v>330.36</v>
      </c>
      <c r="M291" s="190">
        <f t="shared" si="179"/>
        <v>352.24</v>
      </c>
      <c r="N291" s="190">
        <f t="shared" si="179"/>
        <v>1770.89</v>
      </c>
      <c r="O291" s="168">
        <f t="shared" si="179"/>
        <v>1385.41</v>
      </c>
      <c r="P291" s="168">
        <f t="shared" si="179"/>
        <v>774.83</v>
      </c>
      <c r="Q291" s="168">
        <f t="shared" si="179"/>
        <v>872.9</v>
      </c>
      <c r="R291" s="168">
        <f t="shared" si="179"/>
        <v>845.13</v>
      </c>
      <c r="S291" s="168">
        <f>S292</f>
        <v>1562.55</v>
      </c>
      <c r="T291" s="169">
        <f t="shared" si="125"/>
        <v>16952.419999999998</v>
      </c>
      <c r="U291" s="170">
        <v>0</v>
      </c>
      <c r="V291" s="170">
        <v>0</v>
      </c>
      <c r="W291" s="171">
        <f t="shared" si="173"/>
        <v>0</v>
      </c>
      <c r="X291" s="171">
        <f t="shared" si="174"/>
        <v>0</v>
      </c>
      <c r="Y291" s="171">
        <f t="shared" si="175"/>
        <v>0</v>
      </c>
      <c r="Z291" s="171">
        <f t="shared" si="176"/>
        <v>0</v>
      </c>
      <c r="AA291" s="137"/>
    </row>
    <row r="292" spans="1:27" ht="47.25" outlineLevel="1" x14ac:dyDescent="0.25">
      <c r="A292" s="183" t="s">
        <v>920</v>
      </c>
      <c r="B292" s="187" t="s">
        <v>659</v>
      </c>
      <c r="C292" s="190" t="s">
        <v>38</v>
      </c>
      <c r="D292" s="190">
        <f>409.98</f>
        <v>409.98</v>
      </c>
      <c r="E292" s="190">
        <v>1200.25</v>
      </c>
      <c r="F292" s="190">
        <v>972.37</v>
      </c>
      <c r="G292" s="190">
        <v>1137.69</v>
      </c>
      <c r="H292" s="190">
        <v>454.57</v>
      </c>
      <c r="I292" s="190">
        <v>1838.61</v>
      </c>
      <c r="J292" s="190">
        <v>1724.12</v>
      </c>
      <c r="K292" s="190">
        <v>1320.52</v>
      </c>
      <c r="L292" s="190">
        <v>330.36</v>
      </c>
      <c r="M292" s="190">
        <v>352.24</v>
      </c>
      <c r="N292" s="190">
        <v>1770.89</v>
      </c>
      <c r="O292" s="168">
        <v>1385.41</v>
      </c>
      <c r="P292" s="168">
        <v>774.83</v>
      </c>
      <c r="Q292" s="168">
        <v>872.9</v>
      </c>
      <c r="R292" s="168">
        <v>845.13</v>
      </c>
      <c r="S292" s="168">
        <v>1562.55</v>
      </c>
      <c r="T292" s="169">
        <f t="shared" si="125"/>
        <v>16952.419999999998</v>
      </c>
      <c r="U292" s="170">
        <v>0</v>
      </c>
      <c r="V292" s="170">
        <v>0</v>
      </c>
      <c r="W292" s="171">
        <f t="shared" si="173"/>
        <v>0</v>
      </c>
      <c r="X292" s="171">
        <f t="shared" si="174"/>
        <v>0</v>
      </c>
      <c r="Y292" s="171">
        <f t="shared" si="175"/>
        <v>0</v>
      </c>
      <c r="Z292" s="171">
        <f t="shared" si="176"/>
        <v>0</v>
      </c>
      <c r="AA292" s="137"/>
    </row>
    <row r="293" spans="1:27" ht="47.25" outlineLevel="1" x14ac:dyDescent="0.25">
      <c r="A293" s="183" t="s">
        <v>921</v>
      </c>
      <c r="B293" s="167" t="s">
        <v>458</v>
      </c>
      <c r="C293" s="168" t="s">
        <v>38</v>
      </c>
      <c r="D293" s="190">
        <f>D292</f>
        <v>409.98</v>
      </c>
      <c r="E293" s="190">
        <f t="shared" ref="E293:S293" si="180">E292</f>
        <v>1200.25</v>
      </c>
      <c r="F293" s="190">
        <f t="shared" si="180"/>
        <v>972.37</v>
      </c>
      <c r="G293" s="190">
        <f t="shared" si="180"/>
        <v>1137.69</v>
      </c>
      <c r="H293" s="190">
        <f t="shared" si="180"/>
        <v>454.57</v>
      </c>
      <c r="I293" s="190">
        <f t="shared" si="180"/>
        <v>1838.61</v>
      </c>
      <c r="J293" s="190">
        <f t="shared" si="180"/>
        <v>1724.12</v>
      </c>
      <c r="K293" s="190">
        <f t="shared" si="180"/>
        <v>1320.52</v>
      </c>
      <c r="L293" s="190">
        <f t="shared" si="180"/>
        <v>330.36</v>
      </c>
      <c r="M293" s="190">
        <f t="shared" si="180"/>
        <v>352.24</v>
      </c>
      <c r="N293" s="190">
        <f t="shared" si="180"/>
        <v>1770.89</v>
      </c>
      <c r="O293" s="190">
        <f t="shared" si="180"/>
        <v>1385.41</v>
      </c>
      <c r="P293" s="190">
        <f t="shared" si="180"/>
        <v>774.83</v>
      </c>
      <c r="Q293" s="190">
        <f t="shared" si="180"/>
        <v>872.9</v>
      </c>
      <c r="R293" s="190">
        <f t="shared" si="180"/>
        <v>845.13</v>
      </c>
      <c r="S293" s="190">
        <f t="shared" si="180"/>
        <v>1562.55</v>
      </c>
      <c r="T293" s="169">
        <f t="shared" si="125"/>
        <v>16952.419999999998</v>
      </c>
      <c r="U293" s="170">
        <v>0</v>
      </c>
      <c r="V293" s="170">
        <v>0</v>
      </c>
      <c r="W293" s="171">
        <f t="shared" si="173"/>
        <v>0</v>
      </c>
      <c r="X293" s="171">
        <f t="shared" si="174"/>
        <v>0</v>
      </c>
      <c r="Y293" s="171">
        <f t="shared" si="175"/>
        <v>0</v>
      </c>
      <c r="Z293" s="171">
        <f t="shared" si="176"/>
        <v>0</v>
      </c>
      <c r="AA293" s="137"/>
    </row>
    <row r="294" spans="1:27" ht="47.25" outlineLevel="1" x14ac:dyDescent="0.25">
      <c r="A294" s="183" t="s">
        <v>922</v>
      </c>
      <c r="B294" s="187" t="s">
        <v>779</v>
      </c>
      <c r="C294" s="190" t="s">
        <v>38</v>
      </c>
      <c r="D294" s="190">
        <v>0</v>
      </c>
      <c r="E294" s="190">
        <v>0</v>
      </c>
      <c r="F294" s="190">
        <v>0</v>
      </c>
      <c r="G294" s="190">
        <v>0</v>
      </c>
      <c r="H294" s="190">
        <v>0</v>
      </c>
      <c r="I294" s="190">
        <v>3.96</v>
      </c>
      <c r="J294" s="190">
        <v>7.82</v>
      </c>
      <c r="K294" s="190">
        <v>12.53</v>
      </c>
      <c r="L294" s="190">
        <v>14.4</v>
      </c>
      <c r="M294" s="190">
        <v>4.5999999999999996</v>
      </c>
      <c r="N294" s="190">
        <v>0</v>
      </c>
      <c r="O294" s="190">
        <v>5.16</v>
      </c>
      <c r="P294" s="168">
        <v>9.1999999999999993</v>
      </c>
      <c r="Q294" s="168">
        <v>0</v>
      </c>
      <c r="R294" s="168">
        <v>0</v>
      </c>
      <c r="S294" s="168">
        <v>0</v>
      </c>
      <c r="T294" s="169">
        <f t="shared" si="125"/>
        <v>57.67</v>
      </c>
      <c r="U294" s="170">
        <v>0</v>
      </c>
      <c r="V294" s="170">
        <v>0</v>
      </c>
      <c r="W294" s="171">
        <f t="shared" si="173"/>
        <v>0</v>
      </c>
      <c r="X294" s="171">
        <f t="shared" si="174"/>
        <v>0</v>
      </c>
      <c r="Y294" s="171">
        <f t="shared" si="175"/>
        <v>0</v>
      </c>
      <c r="Z294" s="171">
        <f t="shared" si="176"/>
        <v>0</v>
      </c>
      <c r="AA294" s="137"/>
    </row>
    <row r="295" spans="1:27" ht="15.75" x14ac:dyDescent="0.25">
      <c r="A295" s="160" t="s">
        <v>370</v>
      </c>
      <c r="B295" s="161" t="s">
        <v>363</v>
      </c>
      <c r="C295" s="162"/>
      <c r="D295" s="162">
        <v>18</v>
      </c>
      <c r="E295" s="162">
        <v>45</v>
      </c>
      <c r="F295" s="191">
        <f>F296/1.3</f>
        <v>72.461538461538467</v>
      </c>
      <c r="G295" s="191">
        <f t="shared" ref="G295:M295" si="181">G296/1.3</f>
        <v>65.84615384615384</v>
      </c>
      <c r="H295" s="191">
        <f t="shared" si="181"/>
        <v>56.846153846153847</v>
      </c>
      <c r="I295" s="162">
        <f t="shared" si="181"/>
        <v>89</v>
      </c>
      <c r="J295" s="162">
        <f t="shared" si="181"/>
        <v>69</v>
      </c>
      <c r="K295" s="162">
        <f t="shared" si="181"/>
        <v>58</v>
      </c>
      <c r="L295" s="162">
        <f t="shared" si="181"/>
        <v>74</v>
      </c>
      <c r="M295" s="162">
        <f t="shared" si="181"/>
        <v>69</v>
      </c>
      <c r="N295" s="162">
        <f>40+13+30+30</f>
        <v>113</v>
      </c>
      <c r="O295" s="162">
        <f>31+15+13</f>
        <v>59</v>
      </c>
      <c r="P295" s="162">
        <v>39</v>
      </c>
      <c r="Q295" s="162">
        <v>43</v>
      </c>
      <c r="R295" s="162">
        <v>43</v>
      </c>
      <c r="S295" s="162">
        <f>56+28</f>
        <v>84</v>
      </c>
      <c r="T295" s="173"/>
      <c r="U295" s="173"/>
      <c r="V295" s="173"/>
      <c r="W295" s="173"/>
      <c r="X295" s="205">
        <f>SUBTOTAL(9,X296:X301)</f>
        <v>0</v>
      </c>
      <c r="Y295" s="205">
        <f t="shared" ref="Y295:Z295" si="182">SUBTOTAL(9,Y296:Y301)</f>
        <v>0</v>
      </c>
      <c r="Z295" s="205">
        <f t="shared" si="182"/>
        <v>0</v>
      </c>
      <c r="AA295" s="136"/>
    </row>
    <row r="296" spans="1:27" ht="15.75" outlineLevel="1" x14ac:dyDescent="0.25">
      <c r="A296" s="166" t="s">
        <v>372</v>
      </c>
      <c r="B296" s="167" t="s">
        <v>365</v>
      </c>
      <c r="C296" s="168" t="s">
        <v>102</v>
      </c>
      <c r="D296" s="168">
        <f>0.7*18</f>
        <v>12.6</v>
      </c>
      <c r="E296" s="168">
        <f>27*0.7+18*0.7</f>
        <v>31.5</v>
      </c>
      <c r="F296" s="168">
        <v>94.2</v>
      </c>
      <c r="G296" s="168">
        <v>85.6</v>
      </c>
      <c r="H296" s="168">
        <v>73.900000000000006</v>
      </c>
      <c r="I296" s="168">
        <v>115.7</v>
      </c>
      <c r="J296" s="168">
        <v>89.7</v>
      </c>
      <c r="K296" s="168">
        <v>75.400000000000006</v>
      </c>
      <c r="L296" s="168">
        <v>96.2</v>
      </c>
      <c r="M296" s="168">
        <v>89.7</v>
      </c>
      <c r="N296" s="168">
        <f>0.8*N295</f>
        <v>90.4</v>
      </c>
      <c r="O296" s="168">
        <f>0.8*O295</f>
        <v>47.2</v>
      </c>
      <c r="P296" s="168">
        <f>0.7*P295</f>
        <v>27.299999999999997</v>
      </c>
      <c r="Q296" s="168">
        <f>0.765*Q295</f>
        <v>32.895000000000003</v>
      </c>
      <c r="R296" s="168">
        <f>0.765*R295</f>
        <v>32.895000000000003</v>
      </c>
      <c r="S296" s="168">
        <f>0.765*S295</f>
        <v>64.260000000000005</v>
      </c>
      <c r="T296" s="169">
        <f t="shared" si="125"/>
        <v>1059.45</v>
      </c>
      <c r="U296" s="170">
        <v>0</v>
      </c>
      <c r="V296" s="170">
        <v>0</v>
      </c>
      <c r="W296" s="171">
        <f t="shared" ref="W296" si="183">V296+U296</f>
        <v>0</v>
      </c>
      <c r="X296" s="171">
        <f t="shared" ref="X296" si="184">$T296*U296</f>
        <v>0</v>
      </c>
      <c r="Y296" s="171">
        <f t="shared" ref="Y296" si="185">$T296*V296</f>
        <v>0</v>
      </c>
      <c r="Z296" s="171">
        <f t="shared" ref="Z296" si="186">Y296+X296</f>
        <v>0</v>
      </c>
      <c r="AA296" s="137"/>
    </row>
    <row r="297" spans="1:27" ht="15.75" outlineLevel="1" x14ac:dyDescent="0.25">
      <c r="A297" s="166" t="s">
        <v>374</v>
      </c>
      <c r="B297" s="167" t="s">
        <v>367</v>
      </c>
      <c r="C297" s="168" t="s">
        <v>21</v>
      </c>
      <c r="D297" s="168">
        <f>0.0105*18</f>
        <v>0.189</v>
      </c>
      <c r="E297" s="168">
        <f>0.0105*27+0.012*18</f>
        <v>0.49950000000000006</v>
      </c>
      <c r="F297" s="168">
        <v>0.11070000000000001</v>
      </c>
      <c r="G297" s="168">
        <v>0.14799999999999999</v>
      </c>
      <c r="H297" s="168">
        <v>0.13600000000000001</v>
      </c>
      <c r="I297" s="168">
        <f>((0.05*0.15*0.085)*3)*79</f>
        <v>0.15108750000000001</v>
      </c>
      <c r="J297" s="168">
        <f>((0.05*0.15*0.085)*3)*69</f>
        <v>0.13196250000000001</v>
      </c>
      <c r="K297" s="168">
        <f>((0.05*0.15*0.085)*3)*58</f>
        <v>0.11092500000000001</v>
      </c>
      <c r="L297" s="168">
        <f>((0.05*0.15*0.085)*3)*74</f>
        <v>0.14152500000000001</v>
      </c>
      <c r="M297" s="168">
        <f>((0.05*0.15*0.085)*3)*69</f>
        <v>0.13196250000000001</v>
      </c>
      <c r="N297" s="168">
        <f>0.012*N295</f>
        <v>1.3560000000000001</v>
      </c>
      <c r="O297" s="168">
        <f>0.012*O295</f>
        <v>0.70799999999999996</v>
      </c>
      <c r="P297" s="168">
        <f>0.012*P295</f>
        <v>0.46800000000000003</v>
      </c>
      <c r="Q297" s="168">
        <f>0.011475*Q295</f>
        <v>0.49342500000000006</v>
      </c>
      <c r="R297" s="168">
        <f>0.011475*R295</f>
        <v>0.49342500000000006</v>
      </c>
      <c r="S297" s="168">
        <f>0.011475*S295</f>
        <v>0.96390000000000009</v>
      </c>
      <c r="T297" s="169">
        <f t="shared" si="125"/>
        <v>6.2334125</v>
      </c>
      <c r="U297" s="170">
        <v>0</v>
      </c>
      <c r="V297" s="170">
        <v>0</v>
      </c>
      <c r="W297" s="171">
        <f t="shared" ref="W297:W301" si="187">V297+U297</f>
        <v>0</v>
      </c>
      <c r="X297" s="171">
        <f t="shared" ref="X297:X301" si="188">$T297*U297</f>
        <v>0</v>
      </c>
      <c r="Y297" s="171">
        <f t="shared" ref="Y297:Y301" si="189">$T297*V297</f>
        <v>0</v>
      </c>
      <c r="Z297" s="171">
        <f t="shared" ref="Z297:Z301" si="190">Y297+X297</f>
        <v>0</v>
      </c>
      <c r="AA297" s="137"/>
    </row>
    <row r="298" spans="1:27" ht="47.25" outlineLevel="1" x14ac:dyDescent="0.25">
      <c r="A298" s="166" t="s">
        <v>376</v>
      </c>
      <c r="B298" s="167" t="s">
        <v>361</v>
      </c>
      <c r="C298" s="168" t="s">
        <v>21</v>
      </c>
      <c r="D298" s="168">
        <f>0.014*18</f>
        <v>0.252</v>
      </c>
      <c r="E298" s="168">
        <f>0.014*27+0.016*18</f>
        <v>0.66600000000000004</v>
      </c>
      <c r="F298" s="168">
        <v>1.1200000000000001</v>
      </c>
      <c r="G298" s="168">
        <v>1.24</v>
      </c>
      <c r="H298" s="168">
        <v>1.32</v>
      </c>
      <c r="I298" s="168">
        <v>1.3888</v>
      </c>
      <c r="J298" s="168">
        <v>1.2134</v>
      </c>
      <c r="K298" s="168">
        <v>1.02</v>
      </c>
      <c r="L298" s="168">
        <v>1.3016000000000001</v>
      </c>
      <c r="M298" s="168">
        <v>1.2134</v>
      </c>
      <c r="N298" s="168">
        <f>0.0162*113</f>
        <v>1.8306</v>
      </c>
      <c r="O298" s="168">
        <f>0.0162*O295</f>
        <v>0.95579999999999998</v>
      </c>
      <c r="P298" s="168">
        <f>0.014175*P295</f>
        <v>0.55282500000000001</v>
      </c>
      <c r="Q298" s="168">
        <f>0.015491*Q295</f>
        <v>0.66611299999999996</v>
      </c>
      <c r="R298" s="168">
        <f>0.015491*R295</f>
        <v>0.66611299999999996</v>
      </c>
      <c r="S298" s="168">
        <f>0.0162*S295</f>
        <v>1.3608</v>
      </c>
      <c r="T298" s="169">
        <f t="shared" si="125"/>
        <v>16.767451000000001</v>
      </c>
      <c r="U298" s="170">
        <v>0</v>
      </c>
      <c r="V298" s="170">
        <v>0</v>
      </c>
      <c r="W298" s="171">
        <f t="shared" si="187"/>
        <v>0</v>
      </c>
      <c r="X298" s="171">
        <f t="shared" si="188"/>
        <v>0</v>
      </c>
      <c r="Y298" s="171">
        <f t="shared" si="189"/>
        <v>0</v>
      </c>
      <c r="Z298" s="171">
        <f t="shared" si="190"/>
        <v>0</v>
      </c>
      <c r="AA298" s="137"/>
    </row>
    <row r="299" spans="1:27" ht="78.75" outlineLevel="1" x14ac:dyDescent="0.25">
      <c r="A299" s="166" t="s">
        <v>378</v>
      </c>
      <c r="B299" s="167" t="s">
        <v>86</v>
      </c>
      <c r="C299" s="168" t="s">
        <v>38</v>
      </c>
      <c r="D299" s="168">
        <v>6.58</v>
      </c>
      <c r="E299" s="168">
        <f>9.87+11.169</f>
        <v>21.039000000000001</v>
      </c>
      <c r="F299" s="168">
        <v>11.21</v>
      </c>
      <c r="G299" s="168">
        <v>13.34</v>
      </c>
      <c r="H299" s="168">
        <v>11.89</v>
      </c>
      <c r="I299" s="168">
        <f>(1.3*0.135)*79</f>
        <v>13.864500000000001</v>
      </c>
      <c r="J299" s="168">
        <f>(1.3*0.135)*69</f>
        <v>12.109500000000001</v>
      </c>
      <c r="K299" s="168">
        <f>(1.3*0.135)*58</f>
        <v>10.179</v>
      </c>
      <c r="L299" s="168">
        <f>(1.3*0.135)*74</f>
        <v>12.987000000000002</v>
      </c>
      <c r="M299" s="168">
        <f>(1.3*0.135)*69</f>
        <v>12.109500000000001</v>
      </c>
      <c r="N299" s="168">
        <f>35.616+34.026</f>
        <v>69.641999999999996</v>
      </c>
      <c r="O299" s="168">
        <f>0.9951*13+42.32</f>
        <v>55.256299999999996</v>
      </c>
      <c r="P299" s="168">
        <f>0.3655*P295</f>
        <v>14.2545</v>
      </c>
      <c r="Q299" s="168">
        <f>0.65025*Q295</f>
        <v>27.960750000000001</v>
      </c>
      <c r="R299" s="168">
        <f>0.65025*29+0.5705*14</f>
        <v>26.844250000000002</v>
      </c>
      <c r="S299" s="168">
        <f>0.65025*S295</f>
        <v>54.621000000000002</v>
      </c>
      <c r="T299" s="169">
        <f t="shared" si="125"/>
        <v>373.88729999999998</v>
      </c>
      <c r="U299" s="170">
        <v>0</v>
      </c>
      <c r="V299" s="170">
        <v>0</v>
      </c>
      <c r="W299" s="171">
        <f t="shared" si="187"/>
        <v>0</v>
      </c>
      <c r="X299" s="171">
        <f t="shared" si="188"/>
        <v>0</v>
      </c>
      <c r="Y299" s="171">
        <f t="shared" si="189"/>
        <v>0</v>
      </c>
      <c r="Z299" s="171">
        <f t="shared" si="190"/>
        <v>0</v>
      </c>
      <c r="AA299" s="137"/>
    </row>
    <row r="300" spans="1:27" ht="47.25" outlineLevel="1" x14ac:dyDescent="0.25">
      <c r="A300" s="166" t="s">
        <v>380</v>
      </c>
      <c r="B300" s="167" t="s">
        <v>368</v>
      </c>
      <c r="C300" s="168" t="s">
        <v>38</v>
      </c>
      <c r="D300" s="168">
        <f t="shared" ref="D300:R300" si="191">D299</f>
        <v>6.58</v>
      </c>
      <c r="E300" s="168">
        <f t="shared" si="191"/>
        <v>21.039000000000001</v>
      </c>
      <c r="F300" s="168">
        <v>11.21</v>
      </c>
      <c r="G300" s="168">
        <v>13.34</v>
      </c>
      <c r="H300" s="168">
        <v>11.89</v>
      </c>
      <c r="I300" s="168">
        <f>I299</f>
        <v>13.864500000000001</v>
      </c>
      <c r="J300" s="168">
        <f>J299</f>
        <v>12.109500000000001</v>
      </c>
      <c r="K300" s="168">
        <f>K299</f>
        <v>10.179</v>
      </c>
      <c r="L300" s="168">
        <f>L299</f>
        <v>12.987000000000002</v>
      </c>
      <c r="M300" s="168">
        <f>M299</f>
        <v>12.109500000000001</v>
      </c>
      <c r="N300" s="168">
        <f t="shared" si="191"/>
        <v>69.641999999999996</v>
      </c>
      <c r="O300" s="168">
        <f t="shared" si="191"/>
        <v>55.256299999999996</v>
      </c>
      <c r="P300" s="168">
        <f t="shared" si="191"/>
        <v>14.2545</v>
      </c>
      <c r="Q300" s="168">
        <f t="shared" si="191"/>
        <v>27.960750000000001</v>
      </c>
      <c r="R300" s="168">
        <f t="shared" si="191"/>
        <v>26.844250000000002</v>
      </c>
      <c r="S300" s="168">
        <f>S299</f>
        <v>54.621000000000002</v>
      </c>
      <c r="T300" s="169">
        <f t="shared" si="125"/>
        <v>373.88729999999998</v>
      </c>
      <c r="U300" s="170">
        <v>0</v>
      </c>
      <c r="V300" s="170">
        <v>0</v>
      </c>
      <c r="W300" s="171">
        <f t="shared" si="187"/>
        <v>0</v>
      </c>
      <c r="X300" s="171">
        <f t="shared" si="188"/>
        <v>0</v>
      </c>
      <c r="Y300" s="171">
        <f t="shared" si="189"/>
        <v>0</v>
      </c>
      <c r="Z300" s="171">
        <f t="shared" si="190"/>
        <v>0</v>
      </c>
      <c r="AA300" s="137"/>
    </row>
    <row r="301" spans="1:27" ht="47.25" outlineLevel="1" x14ac:dyDescent="0.25">
      <c r="A301" s="166" t="s">
        <v>466</v>
      </c>
      <c r="B301" s="167" t="s">
        <v>369</v>
      </c>
      <c r="C301" s="168" t="s">
        <v>38</v>
      </c>
      <c r="D301" s="168">
        <f t="shared" ref="D301:R301" si="192">D299</f>
        <v>6.58</v>
      </c>
      <c r="E301" s="168">
        <f t="shared" si="192"/>
        <v>21.039000000000001</v>
      </c>
      <c r="F301" s="168">
        <v>11.21</v>
      </c>
      <c r="G301" s="168">
        <v>13.34</v>
      </c>
      <c r="H301" s="168">
        <v>11.89</v>
      </c>
      <c r="I301" s="168">
        <f>I299</f>
        <v>13.864500000000001</v>
      </c>
      <c r="J301" s="168">
        <f>J299</f>
        <v>12.109500000000001</v>
      </c>
      <c r="K301" s="168">
        <f>K299</f>
        <v>10.179</v>
      </c>
      <c r="L301" s="168">
        <f>L299</f>
        <v>12.987000000000002</v>
      </c>
      <c r="M301" s="168">
        <f>M299</f>
        <v>12.109500000000001</v>
      </c>
      <c r="N301" s="168">
        <f t="shared" si="192"/>
        <v>69.641999999999996</v>
      </c>
      <c r="O301" s="168">
        <f t="shared" si="192"/>
        <v>55.256299999999996</v>
      </c>
      <c r="P301" s="168">
        <f t="shared" si="192"/>
        <v>14.2545</v>
      </c>
      <c r="Q301" s="168">
        <f t="shared" si="192"/>
        <v>27.960750000000001</v>
      </c>
      <c r="R301" s="168">
        <f t="shared" si="192"/>
        <v>26.844250000000002</v>
      </c>
      <c r="S301" s="168">
        <f>S299</f>
        <v>54.621000000000002</v>
      </c>
      <c r="T301" s="169">
        <f t="shared" si="125"/>
        <v>373.88729999999998</v>
      </c>
      <c r="U301" s="170">
        <v>0</v>
      </c>
      <c r="V301" s="170">
        <v>0</v>
      </c>
      <c r="W301" s="171">
        <f t="shared" si="187"/>
        <v>0</v>
      </c>
      <c r="X301" s="171">
        <f t="shared" si="188"/>
        <v>0</v>
      </c>
      <c r="Y301" s="171">
        <f t="shared" si="189"/>
        <v>0</v>
      </c>
      <c r="Z301" s="171">
        <f t="shared" si="190"/>
        <v>0</v>
      </c>
      <c r="AA301" s="137"/>
    </row>
    <row r="302" spans="1:27" ht="15.75" x14ac:dyDescent="0.25">
      <c r="A302" s="160" t="s">
        <v>382</v>
      </c>
      <c r="B302" s="161" t="s">
        <v>371</v>
      </c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73"/>
      <c r="U302" s="173"/>
      <c r="V302" s="173"/>
      <c r="W302" s="173"/>
      <c r="X302" s="205">
        <f>SUBTOTAL(9,X303:X308)</f>
        <v>0</v>
      </c>
      <c r="Y302" s="205">
        <f t="shared" ref="Y302:Z302" si="193">SUBTOTAL(9,Y303:Y308)</f>
        <v>0</v>
      </c>
      <c r="Z302" s="205">
        <f t="shared" si="193"/>
        <v>0</v>
      </c>
      <c r="AA302" s="136"/>
    </row>
    <row r="303" spans="1:27" ht="47.25" outlineLevel="1" x14ac:dyDescent="0.25">
      <c r="A303" s="166" t="s">
        <v>384</v>
      </c>
      <c r="B303" s="167" t="s">
        <v>668</v>
      </c>
      <c r="C303" s="168" t="s">
        <v>98</v>
      </c>
      <c r="D303" s="168">
        <v>1</v>
      </c>
      <c r="E303" s="168">
        <v>1</v>
      </c>
      <c r="F303" s="168"/>
      <c r="G303" s="168"/>
      <c r="H303" s="168"/>
      <c r="I303" s="168">
        <v>0</v>
      </c>
      <c r="J303" s="168">
        <v>2</v>
      </c>
      <c r="K303" s="168">
        <v>0</v>
      </c>
      <c r="L303" s="168">
        <v>0</v>
      </c>
      <c r="M303" s="168">
        <v>0</v>
      </c>
      <c r="N303" s="168">
        <v>0</v>
      </c>
      <c r="O303" s="168">
        <v>0</v>
      </c>
      <c r="P303" s="168">
        <v>0</v>
      </c>
      <c r="Q303" s="168">
        <v>0</v>
      </c>
      <c r="R303" s="168">
        <v>0</v>
      </c>
      <c r="S303" s="168">
        <v>1</v>
      </c>
      <c r="T303" s="169">
        <f t="shared" si="125"/>
        <v>5</v>
      </c>
      <c r="U303" s="170">
        <v>0</v>
      </c>
      <c r="V303" s="170">
        <v>0</v>
      </c>
      <c r="W303" s="171">
        <f t="shared" ref="W303:W308" si="194">V303+U303</f>
        <v>0</v>
      </c>
      <c r="X303" s="171">
        <f t="shared" ref="X303:X308" si="195">$T303*U303</f>
        <v>0</v>
      </c>
      <c r="Y303" s="171">
        <f t="shared" ref="Y303:Y308" si="196">$T303*V303</f>
        <v>0</v>
      </c>
      <c r="Z303" s="171">
        <f t="shared" ref="Z303:Z308" si="197">Y303+X303</f>
        <v>0</v>
      </c>
      <c r="AA303" s="137"/>
    </row>
    <row r="304" spans="1:27" ht="63" outlineLevel="1" x14ac:dyDescent="0.25">
      <c r="A304" s="166" t="s">
        <v>467</v>
      </c>
      <c r="B304" s="167" t="s">
        <v>745</v>
      </c>
      <c r="C304" s="168" t="s">
        <v>98</v>
      </c>
      <c r="D304" s="168">
        <v>1</v>
      </c>
      <c r="E304" s="168">
        <v>1</v>
      </c>
      <c r="F304" s="168"/>
      <c r="G304" s="168"/>
      <c r="H304" s="168"/>
      <c r="I304" s="168">
        <v>0</v>
      </c>
      <c r="J304" s="168">
        <v>1</v>
      </c>
      <c r="K304" s="168">
        <v>0</v>
      </c>
      <c r="L304" s="168">
        <v>0</v>
      </c>
      <c r="M304" s="168">
        <v>0</v>
      </c>
      <c r="N304" s="168">
        <v>1</v>
      </c>
      <c r="O304" s="168">
        <v>0</v>
      </c>
      <c r="P304" s="168">
        <v>0</v>
      </c>
      <c r="Q304" s="168">
        <v>3</v>
      </c>
      <c r="R304" s="168">
        <v>3</v>
      </c>
      <c r="S304" s="168">
        <v>0</v>
      </c>
      <c r="T304" s="169">
        <f t="shared" si="125"/>
        <v>10</v>
      </c>
      <c r="U304" s="170">
        <v>0</v>
      </c>
      <c r="V304" s="170">
        <v>0</v>
      </c>
      <c r="W304" s="171">
        <f t="shared" si="194"/>
        <v>0</v>
      </c>
      <c r="X304" s="171">
        <f t="shared" si="195"/>
        <v>0</v>
      </c>
      <c r="Y304" s="171">
        <f t="shared" si="196"/>
        <v>0</v>
      </c>
      <c r="Z304" s="171">
        <f t="shared" si="197"/>
        <v>0</v>
      </c>
      <c r="AA304" s="137"/>
    </row>
    <row r="305" spans="1:27" ht="63" outlineLevel="1" x14ac:dyDescent="0.25">
      <c r="A305" s="166" t="s">
        <v>468</v>
      </c>
      <c r="B305" s="167" t="s">
        <v>827</v>
      </c>
      <c r="C305" s="168" t="s">
        <v>98</v>
      </c>
      <c r="D305" s="168">
        <v>0</v>
      </c>
      <c r="E305" s="168">
        <v>0</v>
      </c>
      <c r="F305" s="168"/>
      <c r="G305" s="168"/>
      <c r="H305" s="168"/>
      <c r="I305" s="168">
        <v>0</v>
      </c>
      <c r="J305" s="168">
        <v>0</v>
      </c>
      <c r="K305" s="168">
        <v>0</v>
      </c>
      <c r="L305" s="168">
        <v>0</v>
      </c>
      <c r="M305" s="168">
        <v>3</v>
      </c>
      <c r="N305" s="168">
        <v>0</v>
      </c>
      <c r="O305" s="168">
        <v>0</v>
      </c>
      <c r="P305" s="168">
        <v>0</v>
      </c>
      <c r="Q305" s="168">
        <v>0</v>
      </c>
      <c r="R305" s="168">
        <v>0</v>
      </c>
      <c r="S305" s="168">
        <v>1</v>
      </c>
      <c r="T305" s="169">
        <f t="shared" si="125"/>
        <v>4</v>
      </c>
      <c r="U305" s="170">
        <v>0</v>
      </c>
      <c r="V305" s="170">
        <v>0</v>
      </c>
      <c r="W305" s="171">
        <f t="shared" si="194"/>
        <v>0</v>
      </c>
      <c r="X305" s="171">
        <f t="shared" si="195"/>
        <v>0</v>
      </c>
      <c r="Y305" s="171">
        <f t="shared" si="196"/>
        <v>0</v>
      </c>
      <c r="Z305" s="171">
        <f t="shared" si="197"/>
        <v>0</v>
      </c>
      <c r="AA305" s="137"/>
    </row>
    <row r="306" spans="1:27" ht="63" outlineLevel="1" x14ac:dyDescent="0.25">
      <c r="A306" s="166" t="s">
        <v>469</v>
      </c>
      <c r="B306" s="167" t="s">
        <v>669</v>
      </c>
      <c r="C306" s="168" t="s">
        <v>98</v>
      </c>
      <c r="D306" s="168">
        <v>0</v>
      </c>
      <c r="E306" s="168">
        <v>0</v>
      </c>
      <c r="F306" s="168"/>
      <c r="G306" s="168"/>
      <c r="H306" s="168"/>
      <c r="I306" s="168">
        <v>0</v>
      </c>
      <c r="J306" s="168">
        <v>0</v>
      </c>
      <c r="K306" s="168">
        <v>1</v>
      </c>
      <c r="L306" s="168">
        <v>0</v>
      </c>
      <c r="M306" s="168">
        <v>0</v>
      </c>
      <c r="N306" s="168">
        <v>0</v>
      </c>
      <c r="O306" s="168">
        <v>0</v>
      </c>
      <c r="P306" s="168">
        <v>0</v>
      </c>
      <c r="Q306" s="168">
        <v>0</v>
      </c>
      <c r="R306" s="168">
        <v>0</v>
      </c>
      <c r="S306" s="168">
        <v>0</v>
      </c>
      <c r="T306" s="169">
        <f t="shared" si="125"/>
        <v>1</v>
      </c>
      <c r="U306" s="170">
        <v>0</v>
      </c>
      <c r="V306" s="170">
        <v>0</v>
      </c>
      <c r="W306" s="171">
        <f t="shared" si="194"/>
        <v>0</v>
      </c>
      <c r="X306" s="171">
        <f t="shared" si="195"/>
        <v>0</v>
      </c>
      <c r="Y306" s="171">
        <f t="shared" si="196"/>
        <v>0</v>
      </c>
      <c r="Z306" s="171">
        <f t="shared" si="197"/>
        <v>0</v>
      </c>
      <c r="AA306" s="137"/>
    </row>
    <row r="307" spans="1:27" ht="63" outlineLevel="1" x14ac:dyDescent="0.25">
      <c r="A307" s="166" t="s">
        <v>470</v>
      </c>
      <c r="B307" s="167" t="s">
        <v>683</v>
      </c>
      <c r="C307" s="168" t="s">
        <v>98</v>
      </c>
      <c r="D307" s="168">
        <v>0</v>
      </c>
      <c r="E307" s="168">
        <v>0</v>
      </c>
      <c r="F307" s="168"/>
      <c r="G307" s="168"/>
      <c r="H307" s="168"/>
      <c r="I307" s="168">
        <v>0</v>
      </c>
      <c r="J307" s="168">
        <v>0</v>
      </c>
      <c r="K307" s="168">
        <v>0</v>
      </c>
      <c r="L307" s="168">
        <v>2</v>
      </c>
      <c r="M307" s="168">
        <v>0</v>
      </c>
      <c r="N307" s="168">
        <v>0</v>
      </c>
      <c r="O307" s="168">
        <v>0</v>
      </c>
      <c r="P307" s="168">
        <v>0</v>
      </c>
      <c r="Q307" s="168">
        <v>0</v>
      </c>
      <c r="R307" s="168">
        <v>0</v>
      </c>
      <c r="S307" s="168">
        <v>0</v>
      </c>
      <c r="T307" s="169">
        <f t="shared" si="125"/>
        <v>2</v>
      </c>
      <c r="U307" s="170">
        <v>0</v>
      </c>
      <c r="V307" s="170">
        <v>0</v>
      </c>
      <c r="W307" s="171">
        <f t="shared" si="194"/>
        <v>0</v>
      </c>
      <c r="X307" s="171">
        <f t="shared" si="195"/>
        <v>0</v>
      </c>
      <c r="Y307" s="171">
        <f t="shared" si="196"/>
        <v>0</v>
      </c>
      <c r="Z307" s="171">
        <f t="shared" si="197"/>
        <v>0</v>
      </c>
      <c r="AA307" s="137"/>
    </row>
    <row r="308" spans="1:27" ht="63" outlineLevel="1" x14ac:dyDescent="0.25">
      <c r="A308" s="166" t="s">
        <v>877</v>
      </c>
      <c r="B308" s="167" t="s">
        <v>670</v>
      </c>
      <c r="C308" s="168" t="s">
        <v>98</v>
      </c>
      <c r="D308" s="168">
        <v>0</v>
      </c>
      <c r="E308" s="168">
        <v>0</v>
      </c>
      <c r="F308" s="168"/>
      <c r="G308" s="168"/>
      <c r="H308" s="168"/>
      <c r="I308" s="168">
        <v>0</v>
      </c>
      <c r="J308" s="168">
        <v>0</v>
      </c>
      <c r="K308" s="168">
        <v>1</v>
      </c>
      <c r="L308" s="168">
        <v>0</v>
      </c>
      <c r="M308" s="168">
        <v>0</v>
      </c>
      <c r="N308" s="168">
        <v>0</v>
      </c>
      <c r="O308" s="168">
        <v>0</v>
      </c>
      <c r="P308" s="168">
        <v>0</v>
      </c>
      <c r="Q308" s="168">
        <v>0</v>
      </c>
      <c r="R308" s="168">
        <v>0</v>
      </c>
      <c r="S308" s="168">
        <v>0</v>
      </c>
      <c r="T308" s="169">
        <f t="shared" si="125"/>
        <v>1</v>
      </c>
      <c r="U308" s="170">
        <v>0</v>
      </c>
      <c r="V308" s="170">
        <v>0</v>
      </c>
      <c r="W308" s="171">
        <f t="shared" si="194"/>
        <v>0</v>
      </c>
      <c r="X308" s="171">
        <f t="shared" si="195"/>
        <v>0</v>
      </c>
      <c r="Y308" s="171">
        <f t="shared" si="196"/>
        <v>0</v>
      </c>
      <c r="Z308" s="171">
        <f t="shared" si="197"/>
        <v>0</v>
      </c>
      <c r="AA308" s="137"/>
    </row>
    <row r="309" spans="1:27" ht="15.75" x14ac:dyDescent="0.25">
      <c r="A309" s="160" t="s">
        <v>386</v>
      </c>
      <c r="B309" s="161" t="s">
        <v>704</v>
      </c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73"/>
      <c r="U309" s="173"/>
      <c r="V309" s="173"/>
      <c r="W309" s="173"/>
      <c r="X309" s="205">
        <f>SUBTOTAL(9,X310:X311)</f>
        <v>0</v>
      </c>
      <c r="Y309" s="205">
        <f t="shared" ref="Y309:Z309" si="198">SUBTOTAL(9,Y310:Y311)</f>
        <v>0</v>
      </c>
      <c r="Z309" s="205">
        <f t="shared" si="198"/>
        <v>0</v>
      </c>
      <c r="AA309" s="136"/>
    </row>
    <row r="310" spans="1:27" ht="31.5" outlineLevel="1" x14ac:dyDescent="0.25">
      <c r="A310" s="192" t="s">
        <v>388</v>
      </c>
      <c r="B310" s="193" t="s">
        <v>705</v>
      </c>
      <c r="C310" s="168" t="s">
        <v>98</v>
      </c>
      <c r="D310" s="168">
        <v>0</v>
      </c>
      <c r="E310" s="168">
        <v>0</v>
      </c>
      <c r="F310" s="178"/>
      <c r="G310" s="270">
        <v>1</v>
      </c>
      <c r="H310" s="271"/>
      <c r="I310" s="178"/>
      <c r="J310" s="178"/>
      <c r="K310" s="178"/>
      <c r="L310" s="178"/>
      <c r="M310" s="178"/>
      <c r="N310" s="178">
        <v>0</v>
      </c>
      <c r="O310" s="168">
        <v>0</v>
      </c>
      <c r="P310" s="168">
        <v>0</v>
      </c>
      <c r="Q310" s="168">
        <v>0</v>
      </c>
      <c r="R310" s="168">
        <v>0</v>
      </c>
      <c r="S310" s="168">
        <v>0</v>
      </c>
      <c r="T310" s="169">
        <f t="shared" si="125"/>
        <v>1</v>
      </c>
      <c r="U310" s="170">
        <v>0</v>
      </c>
      <c r="V310" s="170">
        <v>0</v>
      </c>
      <c r="W310" s="171">
        <f t="shared" ref="W310:W311" si="199">V310+U310</f>
        <v>0</v>
      </c>
      <c r="X310" s="171">
        <f t="shared" ref="X310:X311" si="200">$T310*U310</f>
        <v>0</v>
      </c>
      <c r="Y310" s="171">
        <f t="shared" ref="Y310:Y311" si="201">$T310*V310</f>
        <v>0</v>
      </c>
      <c r="Z310" s="171">
        <f t="shared" ref="Z310:Z311" si="202">Y310+X310</f>
        <v>0</v>
      </c>
      <c r="AA310" s="141"/>
    </row>
    <row r="311" spans="1:27" ht="31.5" outlineLevel="1" x14ac:dyDescent="0.25">
      <c r="A311" s="192" t="s">
        <v>878</v>
      </c>
      <c r="B311" s="193" t="s">
        <v>706</v>
      </c>
      <c r="C311" s="168" t="s">
        <v>98</v>
      </c>
      <c r="D311" s="168">
        <v>0</v>
      </c>
      <c r="E311" s="168">
        <v>0</v>
      </c>
      <c r="F311" s="178"/>
      <c r="G311" s="270">
        <v>1</v>
      </c>
      <c r="H311" s="271"/>
      <c r="I311" s="178"/>
      <c r="J311" s="178"/>
      <c r="K311" s="178"/>
      <c r="L311" s="178"/>
      <c r="M311" s="178"/>
      <c r="N311" s="178">
        <v>0</v>
      </c>
      <c r="O311" s="168">
        <v>0</v>
      </c>
      <c r="P311" s="168">
        <v>0</v>
      </c>
      <c r="Q311" s="168">
        <v>0</v>
      </c>
      <c r="R311" s="168">
        <v>0</v>
      </c>
      <c r="S311" s="168">
        <v>0</v>
      </c>
      <c r="T311" s="169">
        <f t="shared" si="125"/>
        <v>1</v>
      </c>
      <c r="U311" s="170">
        <v>0</v>
      </c>
      <c r="V311" s="170">
        <v>0</v>
      </c>
      <c r="W311" s="171">
        <f t="shared" si="199"/>
        <v>0</v>
      </c>
      <c r="X311" s="171">
        <f t="shared" si="200"/>
        <v>0</v>
      </c>
      <c r="Y311" s="171">
        <f t="shared" si="201"/>
        <v>0</v>
      </c>
      <c r="Z311" s="171">
        <f t="shared" si="202"/>
        <v>0</v>
      </c>
      <c r="AA311" s="141"/>
    </row>
    <row r="312" spans="1:27" ht="15.75" x14ac:dyDescent="0.25">
      <c r="A312" s="160" t="s">
        <v>389</v>
      </c>
      <c r="B312" s="194" t="s">
        <v>451</v>
      </c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62"/>
      <c r="P312" s="162"/>
      <c r="Q312" s="162"/>
      <c r="R312" s="162"/>
      <c r="S312" s="162"/>
      <c r="T312" s="162"/>
      <c r="U312" s="186"/>
      <c r="V312" s="186"/>
      <c r="W312" s="165"/>
      <c r="X312" s="205">
        <f>SUBTOTAL(9,X313:X316)</f>
        <v>0</v>
      </c>
      <c r="Y312" s="205">
        <f t="shared" ref="Y312:Z312" si="203">SUBTOTAL(9,Y313:Y316)</f>
        <v>0</v>
      </c>
      <c r="Z312" s="205">
        <f t="shared" si="203"/>
        <v>0</v>
      </c>
      <c r="AA312" s="136"/>
    </row>
    <row r="313" spans="1:27" ht="47.25" outlineLevel="1" x14ac:dyDescent="0.25">
      <c r="A313" s="166" t="s">
        <v>879</v>
      </c>
      <c r="B313" s="188" t="s">
        <v>452</v>
      </c>
      <c r="C313" s="189" t="s">
        <v>38</v>
      </c>
      <c r="D313" s="294">
        <v>151</v>
      </c>
      <c r="E313" s="295"/>
      <c r="F313" s="189">
        <v>151</v>
      </c>
      <c r="G313" s="189"/>
      <c r="H313" s="189"/>
      <c r="I313" s="189"/>
      <c r="J313" s="189"/>
      <c r="K313" s="294">
        <v>151</v>
      </c>
      <c r="L313" s="295"/>
      <c r="M313" s="189"/>
      <c r="N313" s="189">
        <v>0</v>
      </c>
      <c r="O313" s="189">
        <v>0</v>
      </c>
      <c r="P313" s="189">
        <v>0</v>
      </c>
      <c r="Q313" s="189">
        <v>0</v>
      </c>
      <c r="R313" s="189">
        <v>0</v>
      </c>
      <c r="S313" s="189">
        <v>0</v>
      </c>
      <c r="T313" s="169">
        <f t="shared" si="125"/>
        <v>453</v>
      </c>
      <c r="U313" s="170">
        <v>0</v>
      </c>
      <c r="V313" s="170">
        <v>0</v>
      </c>
      <c r="W313" s="171">
        <f t="shared" ref="W313:W316" si="204">V313+U313</f>
        <v>0</v>
      </c>
      <c r="X313" s="171">
        <f t="shared" ref="X313:X316" si="205">$T313*U313</f>
        <v>0</v>
      </c>
      <c r="Y313" s="171">
        <f t="shared" ref="Y313:Y316" si="206">$T313*V313</f>
        <v>0</v>
      </c>
      <c r="Z313" s="171">
        <f t="shared" ref="Z313:Z316" si="207">Y313+X313</f>
        <v>0</v>
      </c>
      <c r="AA313" s="137"/>
    </row>
    <row r="314" spans="1:27" ht="47.25" outlineLevel="1" x14ac:dyDescent="0.25">
      <c r="A314" s="166" t="s">
        <v>880</v>
      </c>
      <c r="B314" s="188" t="s">
        <v>654</v>
      </c>
      <c r="C314" s="189" t="s">
        <v>923</v>
      </c>
      <c r="D314" s="294">
        <v>2</v>
      </c>
      <c r="E314" s="295"/>
      <c r="F314" s="189">
        <v>2</v>
      </c>
      <c r="G314" s="189"/>
      <c r="H314" s="189"/>
      <c r="I314" s="189"/>
      <c r="J314" s="189"/>
      <c r="K314" s="294">
        <v>2</v>
      </c>
      <c r="L314" s="295"/>
      <c r="M314" s="189"/>
      <c r="N314" s="189">
        <v>0</v>
      </c>
      <c r="O314" s="189">
        <v>0</v>
      </c>
      <c r="P314" s="189">
        <v>0</v>
      </c>
      <c r="Q314" s="189">
        <v>0</v>
      </c>
      <c r="R314" s="189">
        <v>0</v>
      </c>
      <c r="S314" s="189">
        <v>0</v>
      </c>
      <c r="T314" s="169">
        <f t="shared" si="125"/>
        <v>6</v>
      </c>
      <c r="U314" s="170">
        <v>0</v>
      </c>
      <c r="V314" s="170">
        <v>0</v>
      </c>
      <c r="W314" s="171">
        <f t="shared" si="204"/>
        <v>0</v>
      </c>
      <c r="X314" s="171">
        <f t="shared" si="205"/>
        <v>0</v>
      </c>
      <c r="Y314" s="171">
        <f t="shared" si="206"/>
        <v>0</v>
      </c>
      <c r="Z314" s="171">
        <f t="shared" si="207"/>
        <v>0</v>
      </c>
      <c r="AA314" s="137"/>
    </row>
    <row r="315" spans="1:27" ht="47.25" outlineLevel="1" x14ac:dyDescent="0.25">
      <c r="A315" s="166" t="s">
        <v>881</v>
      </c>
      <c r="B315" s="188" t="s">
        <v>453</v>
      </c>
      <c r="C315" s="189" t="s">
        <v>38</v>
      </c>
      <c r="D315" s="294">
        <v>151</v>
      </c>
      <c r="E315" s="295"/>
      <c r="F315" s="189">
        <v>151</v>
      </c>
      <c r="G315" s="189"/>
      <c r="H315" s="189"/>
      <c r="I315" s="189"/>
      <c r="J315" s="189"/>
      <c r="K315" s="294">
        <v>151</v>
      </c>
      <c r="L315" s="295"/>
      <c r="M315" s="189"/>
      <c r="N315" s="189">
        <v>0</v>
      </c>
      <c r="O315" s="189">
        <v>0</v>
      </c>
      <c r="P315" s="189">
        <v>0</v>
      </c>
      <c r="Q315" s="189">
        <v>0</v>
      </c>
      <c r="R315" s="189">
        <v>0</v>
      </c>
      <c r="S315" s="189">
        <v>0</v>
      </c>
      <c r="T315" s="169">
        <f t="shared" si="125"/>
        <v>453</v>
      </c>
      <c r="U315" s="170">
        <v>0</v>
      </c>
      <c r="V315" s="170">
        <v>0</v>
      </c>
      <c r="W315" s="171">
        <f t="shared" si="204"/>
        <v>0</v>
      </c>
      <c r="X315" s="171">
        <f t="shared" si="205"/>
        <v>0</v>
      </c>
      <c r="Y315" s="171">
        <f t="shared" si="206"/>
        <v>0</v>
      </c>
      <c r="Z315" s="171">
        <f t="shared" si="207"/>
        <v>0</v>
      </c>
      <c r="AA315" s="137"/>
    </row>
    <row r="316" spans="1:27" ht="15.75" outlineLevel="1" x14ac:dyDescent="0.25">
      <c r="A316" s="166" t="s">
        <v>882</v>
      </c>
      <c r="B316" s="188" t="s">
        <v>459</v>
      </c>
      <c r="C316" s="189" t="s">
        <v>38</v>
      </c>
      <c r="D316" s="294">
        <v>151</v>
      </c>
      <c r="E316" s="295"/>
      <c r="F316" s="189">
        <v>151</v>
      </c>
      <c r="G316" s="189"/>
      <c r="H316" s="189"/>
      <c r="I316" s="189"/>
      <c r="J316" s="189"/>
      <c r="K316" s="294">
        <v>151</v>
      </c>
      <c r="L316" s="295"/>
      <c r="M316" s="189"/>
      <c r="N316" s="189">
        <v>0</v>
      </c>
      <c r="O316" s="189">
        <v>0</v>
      </c>
      <c r="P316" s="189">
        <v>0</v>
      </c>
      <c r="Q316" s="189">
        <v>0</v>
      </c>
      <c r="R316" s="189">
        <v>0</v>
      </c>
      <c r="S316" s="189">
        <v>0</v>
      </c>
      <c r="T316" s="169">
        <f t="shared" si="125"/>
        <v>453</v>
      </c>
      <c r="U316" s="170">
        <v>0</v>
      </c>
      <c r="V316" s="170">
        <v>0</v>
      </c>
      <c r="W316" s="171">
        <f t="shared" si="204"/>
        <v>0</v>
      </c>
      <c r="X316" s="171">
        <f t="shared" si="205"/>
        <v>0</v>
      </c>
      <c r="Y316" s="171">
        <f t="shared" si="206"/>
        <v>0</v>
      </c>
      <c r="Z316" s="171">
        <f t="shared" si="207"/>
        <v>0</v>
      </c>
      <c r="AA316" s="137"/>
    </row>
    <row r="317" spans="1:27" ht="31.5" x14ac:dyDescent="0.25">
      <c r="A317" s="160" t="s">
        <v>391</v>
      </c>
      <c r="B317" s="161" t="s">
        <v>390</v>
      </c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73"/>
      <c r="V317" s="173"/>
      <c r="W317" s="173"/>
      <c r="X317" s="205">
        <f>SUBTOTAL(9,X318:X330)</f>
        <v>0</v>
      </c>
      <c r="Y317" s="205">
        <f t="shared" ref="Y317:Z317" si="208">SUBTOTAL(9,Y318:Y330)</f>
        <v>0</v>
      </c>
      <c r="Z317" s="205">
        <f t="shared" si="208"/>
        <v>0</v>
      </c>
      <c r="AA317" s="136"/>
    </row>
    <row r="318" spans="1:27" ht="47.25" outlineLevel="1" x14ac:dyDescent="0.25">
      <c r="A318" s="166" t="s">
        <v>391</v>
      </c>
      <c r="B318" s="174" t="s">
        <v>392</v>
      </c>
      <c r="C318" s="189" t="s">
        <v>38</v>
      </c>
      <c r="D318" s="175">
        <v>1.5</v>
      </c>
      <c r="E318" s="175">
        <v>1.5</v>
      </c>
      <c r="F318" s="175">
        <v>1.5</v>
      </c>
      <c r="G318" s="175">
        <v>1.5</v>
      </c>
      <c r="H318" s="175">
        <v>1.5</v>
      </c>
      <c r="I318" s="175">
        <v>1.5</v>
      </c>
      <c r="J318" s="175">
        <v>1.5</v>
      </c>
      <c r="K318" s="175">
        <v>1.5</v>
      </c>
      <c r="L318" s="175">
        <v>1.5</v>
      </c>
      <c r="M318" s="175">
        <v>1.5</v>
      </c>
      <c r="N318" s="175">
        <v>1.5</v>
      </c>
      <c r="O318" s="175">
        <v>1.5</v>
      </c>
      <c r="P318" s="175">
        <v>1.5</v>
      </c>
      <c r="Q318" s="175">
        <v>1.5</v>
      </c>
      <c r="R318" s="175">
        <v>1.5</v>
      </c>
      <c r="S318" s="175">
        <v>1.5</v>
      </c>
      <c r="T318" s="169">
        <f t="shared" si="125"/>
        <v>24</v>
      </c>
      <c r="U318" s="170">
        <v>0</v>
      </c>
      <c r="V318" s="196"/>
      <c r="W318" s="171">
        <f t="shared" ref="W318" si="209">V318+U318</f>
        <v>0</v>
      </c>
      <c r="X318" s="171">
        <f t="shared" ref="X318" si="210">$T318*U318</f>
        <v>0</v>
      </c>
      <c r="Y318" s="171">
        <f t="shared" ref="Y318" si="211">$T318*V318</f>
        <v>0</v>
      </c>
      <c r="Z318" s="171">
        <f t="shared" ref="Z318" si="212">Y318+X318</f>
        <v>0</v>
      </c>
      <c r="AA318" s="137"/>
    </row>
    <row r="319" spans="1:27" s="130" customFormat="1" ht="110.25" outlineLevel="1" x14ac:dyDescent="0.25">
      <c r="A319" s="183" t="s">
        <v>393</v>
      </c>
      <c r="B319" s="197" t="s">
        <v>58</v>
      </c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9"/>
      <c r="V319" s="199"/>
      <c r="W319" s="199"/>
      <c r="X319" s="199"/>
      <c r="Y319" s="199"/>
      <c r="Z319" s="199"/>
      <c r="AA319" s="142"/>
    </row>
    <row r="320" spans="1:27" ht="47.25" outlineLevel="1" x14ac:dyDescent="0.25">
      <c r="A320" s="183" t="s">
        <v>394</v>
      </c>
      <c r="B320" s="174" t="s">
        <v>88</v>
      </c>
      <c r="C320" s="189" t="s">
        <v>38</v>
      </c>
      <c r="D320" s="175">
        <v>1.5</v>
      </c>
      <c r="E320" s="175">
        <v>1.5</v>
      </c>
      <c r="F320" s="175">
        <v>1.5</v>
      </c>
      <c r="G320" s="175">
        <v>1.5</v>
      </c>
      <c r="H320" s="175">
        <v>1.5</v>
      </c>
      <c r="I320" s="175">
        <v>1.5</v>
      </c>
      <c r="J320" s="175">
        <v>1.5</v>
      </c>
      <c r="K320" s="175">
        <v>1.5</v>
      </c>
      <c r="L320" s="175">
        <v>1.5</v>
      </c>
      <c r="M320" s="175">
        <v>1.5</v>
      </c>
      <c r="N320" s="175">
        <v>1.5</v>
      </c>
      <c r="O320" s="175">
        <v>1.5</v>
      </c>
      <c r="P320" s="175">
        <v>1.5</v>
      </c>
      <c r="Q320" s="175">
        <v>1.5</v>
      </c>
      <c r="R320" s="175">
        <v>1.5</v>
      </c>
      <c r="S320" s="175">
        <v>1.5</v>
      </c>
      <c r="T320" s="169">
        <f t="shared" si="125"/>
        <v>24</v>
      </c>
      <c r="U320" s="170">
        <v>0</v>
      </c>
      <c r="V320" s="170">
        <v>0</v>
      </c>
      <c r="W320" s="171">
        <f t="shared" ref="W320" si="213">V320+U320</f>
        <v>0</v>
      </c>
      <c r="X320" s="171">
        <f t="shared" ref="X320" si="214">$T320*U320</f>
        <v>0</v>
      </c>
      <c r="Y320" s="171">
        <f t="shared" ref="Y320" si="215">$T320*V320</f>
        <v>0</v>
      </c>
      <c r="Z320" s="171">
        <f t="shared" ref="Z320" si="216">Y320+X320</f>
        <v>0</v>
      </c>
      <c r="AA320" s="137"/>
    </row>
    <row r="321" spans="1:27" s="130" customFormat="1" ht="15.75" outlineLevel="1" x14ac:dyDescent="0.25">
      <c r="A321" s="200" t="s">
        <v>395</v>
      </c>
      <c r="B321" s="201" t="s">
        <v>334</v>
      </c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9"/>
      <c r="U321" s="199"/>
      <c r="V321" s="199"/>
      <c r="W321" s="199"/>
      <c r="X321" s="199"/>
      <c r="Y321" s="199"/>
      <c r="Z321" s="199"/>
      <c r="AA321" s="142"/>
    </row>
    <row r="322" spans="1:27" ht="47.25" outlineLevel="1" x14ac:dyDescent="0.25">
      <c r="A322" s="183" t="s">
        <v>396</v>
      </c>
      <c r="B322" s="174" t="s">
        <v>88</v>
      </c>
      <c r="C322" s="189" t="s">
        <v>38</v>
      </c>
      <c r="D322" s="175">
        <v>1.5</v>
      </c>
      <c r="E322" s="175">
        <v>1.5</v>
      </c>
      <c r="F322" s="175">
        <v>1.5</v>
      </c>
      <c r="G322" s="175">
        <v>1.5</v>
      </c>
      <c r="H322" s="175">
        <v>1.5</v>
      </c>
      <c r="I322" s="175">
        <v>1.5</v>
      </c>
      <c r="J322" s="175">
        <v>1.5</v>
      </c>
      <c r="K322" s="175">
        <v>1.5</v>
      </c>
      <c r="L322" s="175">
        <v>1.5</v>
      </c>
      <c r="M322" s="175">
        <v>1.5</v>
      </c>
      <c r="N322" s="175">
        <v>1.5</v>
      </c>
      <c r="O322" s="175">
        <v>1.5</v>
      </c>
      <c r="P322" s="175">
        <v>1.5</v>
      </c>
      <c r="Q322" s="175">
        <v>1.5</v>
      </c>
      <c r="R322" s="175">
        <v>1.5</v>
      </c>
      <c r="S322" s="175">
        <v>1.5</v>
      </c>
      <c r="T322" s="169">
        <f t="shared" ref="T322:T330" si="217">SUM(D322:S322)</f>
        <v>24</v>
      </c>
      <c r="U322" s="170">
        <v>0</v>
      </c>
      <c r="V322" s="170">
        <v>0</v>
      </c>
      <c r="W322" s="171">
        <f t="shared" ref="W322" si="218">V322+U322</f>
        <v>0</v>
      </c>
      <c r="X322" s="171">
        <f t="shared" ref="X322" si="219">$T322*U322</f>
        <v>0</v>
      </c>
      <c r="Y322" s="171">
        <f t="shared" ref="Y322" si="220">$T322*V322</f>
        <v>0</v>
      </c>
      <c r="Z322" s="171">
        <f t="shared" ref="Z322" si="221">Y322+X322</f>
        <v>0</v>
      </c>
      <c r="AA322" s="137"/>
    </row>
    <row r="323" spans="1:27" s="130" customFormat="1" ht="15.75" outlineLevel="1" x14ac:dyDescent="0.25">
      <c r="A323" s="200" t="s">
        <v>397</v>
      </c>
      <c r="B323" s="201" t="s">
        <v>18</v>
      </c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9"/>
      <c r="U323" s="199"/>
      <c r="V323" s="199"/>
      <c r="W323" s="199"/>
      <c r="X323" s="199"/>
      <c r="Y323" s="199"/>
      <c r="Z323" s="199"/>
      <c r="AA323" s="142"/>
    </row>
    <row r="324" spans="1:27" ht="94.5" outlineLevel="1" x14ac:dyDescent="0.25">
      <c r="A324" s="183" t="s">
        <v>398</v>
      </c>
      <c r="B324" s="167" t="s">
        <v>40</v>
      </c>
      <c r="C324" s="190" t="s">
        <v>38</v>
      </c>
      <c r="D324" s="190">
        <v>0</v>
      </c>
      <c r="E324" s="190">
        <v>0</v>
      </c>
      <c r="F324" s="190">
        <v>15</v>
      </c>
      <c r="G324" s="190">
        <v>15</v>
      </c>
      <c r="H324" s="190">
        <v>15</v>
      </c>
      <c r="I324" s="168">
        <v>15</v>
      </c>
      <c r="J324" s="168">
        <v>15</v>
      </c>
      <c r="K324" s="168">
        <v>15</v>
      </c>
      <c r="L324" s="168">
        <v>15</v>
      </c>
      <c r="M324" s="168">
        <v>15</v>
      </c>
      <c r="N324" s="190">
        <v>0</v>
      </c>
      <c r="O324" s="168">
        <v>0</v>
      </c>
      <c r="P324" s="168">
        <v>0</v>
      </c>
      <c r="Q324" s="168">
        <v>0</v>
      </c>
      <c r="R324" s="168">
        <v>0</v>
      </c>
      <c r="S324" s="168">
        <v>0</v>
      </c>
      <c r="T324" s="169">
        <f t="shared" si="217"/>
        <v>120</v>
      </c>
      <c r="U324" s="170">
        <v>0</v>
      </c>
      <c r="V324" s="170">
        <v>0</v>
      </c>
      <c r="W324" s="171">
        <f t="shared" ref="W324:W325" si="222">V324+U324</f>
        <v>0</v>
      </c>
      <c r="X324" s="171">
        <f t="shared" ref="X324:X325" si="223">$T324*U324</f>
        <v>0</v>
      </c>
      <c r="Y324" s="171">
        <f t="shared" ref="Y324:Y325" si="224">$T324*V324</f>
        <v>0</v>
      </c>
      <c r="Z324" s="171">
        <f t="shared" ref="Z324:Z325" si="225">Y324+X324</f>
        <v>0</v>
      </c>
      <c r="AA324" s="137"/>
    </row>
    <row r="325" spans="1:27" ht="94.5" outlineLevel="1" x14ac:dyDescent="0.25">
      <c r="A325" s="183" t="s">
        <v>399</v>
      </c>
      <c r="B325" s="167" t="s">
        <v>42</v>
      </c>
      <c r="C325" s="190" t="s">
        <v>38</v>
      </c>
      <c r="D325" s="190">
        <v>0</v>
      </c>
      <c r="E325" s="190">
        <v>0</v>
      </c>
      <c r="F325" s="190"/>
      <c r="G325" s="190"/>
      <c r="H325" s="190"/>
      <c r="I325" s="168">
        <v>15</v>
      </c>
      <c r="J325" s="168">
        <v>15</v>
      </c>
      <c r="K325" s="168">
        <v>15</v>
      </c>
      <c r="L325" s="168"/>
      <c r="M325" s="168">
        <v>15</v>
      </c>
      <c r="N325" s="190">
        <v>0</v>
      </c>
      <c r="O325" s="168">
        <v>0</v>
      </c>
      <c r="P325" s="168">
        <v>0</v>
      </c>
      <c r="Q325" s="168">
        <v>0</v>
      </c>
      <c r="R325" s="168">
        <v>0</v>
      </c>
      <c r="S325" s="168">
        <v>0</v>
      </c>
      <c r="T325" s="169">
        <f t="shared" si="217"/>
        <v>60</v>
      </c>
      <c r="U325" s="170">
        <v>0</v>
      </c>
      <c r="V325" s="170">
        <v>0</v>
      </c>
      <c r="W325" s="171">
        <f t="shared" si="222"/>
        <v>0</v>
      </c>
      <c r="X325" s="171">
        <f t="shared" si="223"/>
        <v>0</v>
      </c>
      <c r="Y325" s="171">
        <f t="shared" si="224"/>
        <v>0</v>
      </c>
      <c r="Z325" s="171">
        <f t="shared" si="225"/>
        <v>0</v>
      </c>
      <c r="AA325" s="137"/>
    </row>
    <row r="326" spans="1:27" ht="94.5" outlineLevel="1" x14ac:dyDescent="0.25">
      <c r="A326" s="183" t="s">
        <v>400</v>
      </c>
      <c r="B326" s="167" t="s">
        <v>46</v>
      </c>
      <c r="C326" s="190" t="s">
        <v>38</v>
      </c>
      <c r="D326" s="190">
        <v>0</v>
      </c>
      <c r="E326" s="190">
        <v>0</v>
      </c>
      <c r="F326" s="190"/>
      <c r="G326" s="190">
        <v>15</v>
      </c>
      <c r="H326" s="190">
        <v>15</v>
      </c>
      <c r="I326" s="168">
        <v>15</v>
      </c>
      <c r="J326" s="168"/>
      <c r="K326" s="168"/>
      <c r="L326" s="168"/>
      <c r="M326" s="168"/>
      <c r="N326" s="190">
        <v>0</v>
      </c>
      <c r="O326" s="168">
        <v>0</v>
      </c>
      <c r="P326" s="168">
        <v>0</v>
      </c>
      <c r="Q326" s="168">
        <v>0</v>
      </c>
      <c r="R326" s="168">
        <v>0</v>
      </c>
      <c r="S326" s="168">
        <v>0</v>
      </c>
      <c r="T326" s="169">
        <f t="shared" si="217"/>
        <v>45</v>
      </c>
      <c r="U326" s="170">
        <v>0</v>
      </c>
      <c r="V326" s="170">
        <v>0</v>
      </c>
      <c r="W326" s="171">
        <f t="shared" ref="W326:W330" si="226">V326+U326</f>
        <v>0</v>
      </c>
      <c r="X326" s="171">
        <f t="shared" ref="X326:X330" si="227">$T326*U326</f>
        <v>0</v>
      </c>
      <c r="Y326" s="171">
        <f t="shared" ref="Y326:Y330" si="228">$T326*V326</f>
        <v>0</v>
      </c>
      <c r="Z326" s="171">
        <f t="shared" ref="Z326:Z330" si="229">Y326+X326</f>
        <v>0</v>
      </c>
      <c r="AA326" s="137"/>
    </row>
    <row r="327" spans="1:27" ht="94.5" outlineLevel="1" x14ac:dyDescent="0.25">
      <c r="A327" s="183" t="s">
        <v>401</v>
      </c>
      <c r="B327" s="167" t="s">
        <v>699</v>
      </c>
      <c r="C327" s="190" t="s">
        <v>38</v>
      </c>
      <c r="D327" s="190">
        <v>0</v>
      </c>
      <c r="E327" s="190">
        <v>0</v>
      </c>
      <c r="F327" s="190"/>
      <c r="G327" s="190"/>
      <c r="H327" s="190">
        <v>15</v>
      </c>
      <c r="I327" s="168"/>
      <c r="J327" s="168"/>
      <c r="K327" s="168"/>
      <c r="L327" s="168"/>
      <c r="M327" s="168"/>
      <c r="N327" s="190">
        <v>0</v>
      </c>
      <c r="O327" s="168">
        <v>0</v>
      </c>
      <c r="P327" s="168">
        <v>0</v>
      </c>
      <c r="Q327" s="168">
        <v>0</v>
      </c>
      <c r="R327" s="168">
        <v>0</v>
      </c>
      <c r="S327" s="168">
        <v>0</v>
      </c>
      <c r="T327" s="169">
        <f t="shared" si="217"/>
        <v>15</v>
      </c>
      <c r="U327" s="170">
        <v>0</v>
      </c>
      <c r="V327" s="170">
        <v>0</v>
      </c>
      <c r="W327" s="171">
        <f t="shared" si="226"/>
        <v>0</v>
      </c>
      <c r="X327" s="171">
        <f t="shared" si="227"/>
        <v>0</v>
      </c>
      <c r="Y327" s="171">
        <f t="shared" si="228"/>
        <v>0</v>
      </c>
      <c r="Z327" s="171">
        <f t="shared" si="229"/>
        <v>0</v>
      </c>
      <c r="AA327" s="137"/>
    </row>
    <row r="328" spans="1:27" ht="94.5" outlineLevel="1" x14ac:dyDescent="0.25">
      <c r="A328" s="183" t="s">
        <v>402</v>
      </c>
      <c r="B328" s="167" t="s">
        <v>56</v>
      </c>
      <c r="C328" s="190" t="s">
        <v>38</v>
      </c>
      <c r="D328" s="190">
        <v>0</v>
      </c>
      <c r="E328" s="190">
        <v>0</v>
      </c>
      <c r="F328" s="190"/>
      <c r="G328" s="190"/>
      <c r="H328" s="190"/>
      <c r="I328" s="168"/>
      <c r="J328" s="168"/>
      <c r="K328" s="168"/>
      <c r="L328" s="168"/>
      <c r="M328" s="168">
        <v>15</v>
      </c>
      <c r="N328" s="190">
        <v>0</v>
      </c>
      <c r="O328" s="168">
        <v>0</v>
      </c>
      <c r="P328" s="168">
        <v>0</v>
      </c>
      <c r="Q328" s="168">
        <v>0</v>
      </c>
      <c r="R328" s="168">
        <v>0</v>
      </c>
      <c r="S328" s="168">
        <v>0</v>
      </c>
      <c r="T328" s="169">
        <f t="shared" si="217"/>
        <v>15</v>
      </c>
      <c r="U328" s="170">
        <v>0</v>
      </c>
      <c r="V328" s="170">
        <v>0</v>
      </c>
      <c r="W328" s="171">
        <f t="shared" si="226"/>
        <v>0</v>
      </c>
      <c r="X328" s="171">
        <f t="shared" si="227"/>
        <v>0</v>
      </c>
      <c r="Y328" s="171">
        <f t="shared" si="228"/>
        <v>0</v>
      </c>
      <c r="Z328" s="171">
        <f t="shared" si="229"/>
        <v>0</v>
      </c>
      <c r="AA328" s="137"/>
    </row>
    <row r="329" spans="1:27" ht="94.5" outlineLevel="1" x14ac:dyDescent="0.25">
      <c r="A329" s="183" t="s">
        <v>403</v>
      </c>
      <c r="B329" s="167" t="s">
        <v>679</v>
      </c>
      <c r="C329" s="190" t="s">
        <v>38</v>
      </c>
      <c r="D329" s="190">
        <v>0</v>
      </c>
      <c r="E329" s="190">
        <v>0</v>
      </c>
      <c r="F329" s="190"/>
      <c r="G329" s="190"/>
      <c r="H329" s="190"/>
      <c r="I329" s="168"/>
      <c r="J329" s="168"/>
      <c r="K329" s="168"/>
      <c r="L329" s="168">
        <v>15</v>
      </c>
      <c r="M329" s="168"/>
      <c r="N329" s="190">
        <v>0</v>
      </c>
      <c r="O329" s="168">
        <v>0</v>
      </c>
      <c r="P329" s="168">
        <v>0</v>
      </c>
      <c r="Q329" s="168">
        <v>0</v>
      </c>
      <c r="R329" s="168">
        <v>0</v>
      </c>
      <c r="S329" s="168">
        <v>0</v>
      </c>
      <c r="T329" s="169">
        <f t="shared" si="217"/>
        <v>15</v>
      </c>
      <c r="U329" s="170">
        <v>0</v>
      </c>
      <c r="V329" s="170">
        <v>0</v>
      </c>
      <c r="W329" s="171">
        <f t="shared" si="226"/>
        <v>0</v>
      </c>
      <c r="X329" s="171">
        <f t="shared" si="227"/>
        <v>0</v>
      </c>
      <c r="Y329" s="171">
        <f t="shared" si="228"/>
        <v>0</v>
      </c>
      <c r="Z329" s="171">
        <f t="shared" si="229"/>
        <v>0</v>
      </c>
      <c r="AA329" s="137"/>
    </row>
    <row r="330" spans="1:27" ht="94.5" outlineLevel="1" x14ac:dyDescent="0.25">
      <c r="A330" s="183" t="s">
        <v>404</v>
      </c>
      <c r="B330" s="167" t="s">
        <v>680</v>
      </c>
      <c r="C330" s="190" t="s">
        <v>38</v>
      </c>
      <c r="D330" s="190">
        <v>0</v>
      </c>
      <c r="E330" s="190">
        <v>0</v>
      </c>
      <c r="F330" s="190"/>
      <c r="G330" s="190"/>
      <c r="H330" s="190"/>
      <c r="I330" s="168"/>
      <c r="J330" s="168"/>
      <c r="K330" s="168"/>
      <c r="L330" s="168"/>
      <c r="M330" s="168">
        <v>15</v>
      </c>
      <c r="N330" s="190">
        <v>0</v>
      </c>
      <c r="O330" s="168">
        <v>0</v>
      </c>
      <c r="P330" s="168">
        <v>0</v>
      </c>
      <c r="Q330" s="168">
        <v>0</v>
      </c>
      <c r="R330" s="168">
        <v>0</v>
      </c>
      <c r="S330" s="168">
        <v>0</v>
      </c>
      <c r="T330" s="169">
        <f t="shared" si="217"/>
        <v>15</v>
      </c>
      <c r="U330" s="170">
        <v>0</v>
      </c>
      <c r="V330" s="170">
        <v>0</v>
      </c>
      <c r="W330" s="171">
        <f t="shared" si="226"/>
        <v>0</v>
      </c>
      <c r="X330" s="171">
        <f t="shared" si="227"/>
        <v>0</v>
      </c>
      <c r="Y330" s="171">
        <f t="shared" si="228"/>
        <v>0</v>
      </c>
      <c r="Z330" s="171">
        <f t="shared" si="229"/>
        <v>0</v>
      </c>
      <c r="AA330" s="137"/>
    </row>
    <row r="331" spans="1:27" ht="32.450000000000003" customHeight="1" x14ac:dyDescent="0.25">
      <c r="A331" s="143"/>
      <c r="B331" s="151" t="s">
        <v>960</v>
      </c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43"/>
      <c r="V331" s="143"/>
      <c r="W331" s="143"/>
      <c r="X331" s="152">
        <f>SUBTOTAL(9,X10:X330)</f>
        <v>0</v>
      </c>
      <c r="Y331" s="152">
        <f t="shared" ref="Y331:Z331" si="230">SUBTOTAL(9,Y10:Y330)</f>
        <v>0</v>
      </c>
      <c r="Z331" s="152">
        <f t="shared" si="230"/>
        <v>0</v>
      </c>
      <c r="AA331" s="143"/>
    </row>
    <row r="332" spans="1:27" ht="98.45" customHeight="1" x14ac:dyDescent="0.25">
      <c r="A332" s="153"/>
      <c r="B332" s="208" t="s">
        <v>925</v>
      </c>
      <c r="C332" s="133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33"/>
      <c r="U332" s="153"/>
      <c r="V332" s="153"/>
      <c r="W332" s="153"/>
      <c r="X332" s="153"/>
      <c r="Y332" s="153"/>
      <c r="Z332" s="153"/>
      <c r="AA332" s="153"/>
    </row>
    <row r="333" spans="1:27" ht="30" customHeight="1" x14ac:dyDescent="0.3">
      <c r="A333" s="145"/>
      <c r="B333" s="299" t="s">
        <v>442</v>
      </c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146"/>
      <c r="V333" s="146"/>
      <c r="W333" s="146"/>
      <c r="X333" s="146"/>
      <c r="Y333" s="146"/>
      <c r="Z333" s="146"/>
      <c r="AA333" s="146"/>
    </row>
    <row r="334" spans="1:27" ht="109.5" customHeight="1" x14ac:dyDescent="0.25">
      <c r="A334" s="147" t="s">
        <v>930</v>
      </c>
      <c r="B334" s="269" t="s">
        <v>961</v>
      </c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4"/>
      <c r="V334" s="265"/>
      <c r="W334" s="265"/>
      <c r="X334" s="265"/>
      <c r="Y334" s="265"/>
      <c r="Z334" s="265"/>
      <c r="AA334" s="266"/>
    </row>
    <row r="335" spans="1:27" ht="90" customHeight="1" x14ac:dyDescent="0.25">
      <c r="A335" s="147" t="s">
        <v>931</v>
      </c>
      <c r="B335" s="263" t="s">
        <v>932</v>
      </c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  <c r="Q335" s="263"/>
      <c r="R335" s="263"/>
      <c r="S335" s="263"/>
      <c r="T335" s="263"/>
      <c r="U335" s="264"/>
      <c r="V335" s="265"/>
      <c r="W335" s="265"/>
      <c r="X335" s="265"/>
      <c r="Y335" s="265"/>
      <c r="Z335" s="265"/>
      <c r="AA335" s="266"/>
    </row>
    <row r="336" spans="1:27" ht="36.6" customHeight="1" x14ac:dyDescent="0.25">
      <c r="A336" s="147" t="s">
        <v>389</v>
      </c>
      <c r="B336" s="263" t="s">
        <v>933</v>
      </c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4"/>
      <c r="V336" s="265"/>
      <c r="W336" s="265"/>
      <c r="X336" s="265"/>
      <c r="Y336" s="265"/>
      <c r="Z336" s="265"/>
      <c r="AA336" s="266"/>
    </row>
    <row r="337" spans="1:27" ht="36.6" customHeight="1" x14ac:dyDescent="0.25">
      <c r="A337" s="147" t="s">
        <v>934</v>
      </c>
      <c r="B337" s="263" t="s">
        <v>935</v>
      </c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  <c r="Q337" s="263"/>
      <c r="R337" s="263"/>
      <c r="S337" s="263"/>
      <c r="T337" s="263"/>
      <c r="U337" s="264"/>
      <c r="V337" s="265"/>
      <c r="W337" s="265"/>
      <c r="X337" s="265"/>
      <c r="Y337" s="265"/>
      <c r="Z337" s="265"/>
      <c r="AA337" s="266"/>
    </row>
    <row r="338" spans="1:27" ht="36.6" customHeight="1" x14ac:dyDescent="0.25">
      <c r="A338" s="147" t="s">
        <v>936</v>
      </c>
      <c r="B338" s="263" t="s">
        <v>418</v>
      </c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263"/>
      <c r="R338" s="263"/>
      <c r="S338" s="263"/>
      <c r="T338" s="263"/>
      <c r="U338" s="264"/>
      <c r="V338" s="265"/>
      <c r="W338" s="265"/>
      <c r="X338" s="265"/>
      <c r="Y338" s="265"/>
      <c r="Z338" s="265"/>
      <c r="AA338" s="266"/>
    </row>
    <row r="339" spans="1:27" ht="36.6" customHeight="1" x14ac:dyDescent="0.25">
      <c r="A339" s="147" t="s">
        <v>937</v>
      </c>
      <c r="B339" s="263" t="s">
        <v>938</v>
      </c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4"/>
      <c r="V339" s="265"/>
      <c r="W339" s="265"/>
      <c r="X339" s="265"/>
      <c r="Y339" s="265"/>
      <c r="Z339" s="265"/>
      <c r="AA339" s="266"/>
    </row>
    <row r="340" spans="1:27" ht="36.6" customHeight="1" x14ac:dyDescent="0.25">
      <c r="A340" s="147" t="s">
        <v>939</v>
      </c>
      <c r="B340" s="263" t="s">
        <v>940</v>
      </c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4"/>
      <c r="V340" s="265"/>
      <c r="W340" s="265"/>
      <c r="X340" s="265"/>
      <c r="Y340" s="265"/>
      <c r="Z340" s="265"/>
      <c r="AA340" s="266"/>
    </row>
    <row r="341" spans="1:27" ht="36.6" customHeight="1" x14ac:dyDescent="0.25">
      <c r="A341" s="147" t="s">
        <v>941</v>
      </c>
      <c r="B341" s="263" t="s">
        <v>962</v>
      </c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4"/>
      <c r="V341" s="265"/>
      <c r="W341" s="265"/>
      <c r="X341" s="265"/>
      <c r="Y341" s="265"/>
      <c r="Z341" s="265"/>
      <c r="AA341" s="266"/>
    </row>
    <row r="342" spans="1:27" ht="36.6" customHeight="1" x14ac:dyDescent="0.25">
      <c r="A342" s="147" t="s">
        <v>942</v>
      </c>
      <c r="B342" s="263" t="s">
        <v>963</v>
      </c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4"/>
      <c r="V342" s="265"/>
      <c r="W342" s="265"/>
      <c r="X342" s="265"/>
      <c r="Y342" s="265"/>
      <c r="Z342" s="265"/>
      <c r="AA342" s="266"/>
    </row>
    <row r="343" spans="1:27" ht="43.15" customHeight="1" x14ac:dyDescent="0.25">
      <c r="A343" s="147" t="s">
        <v>943</v>
      </c>
      <c r="B343" s="267" t="s">
        <v>944</v>
      </c>
      <c r="C343" s="267"/>
      <c r="D343" s="267"/>
      <c r="E343" s="267"/>
      <c r="F343" s="267"/>
      <c r="G343" s="267"/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4"/>
      <c r="V343" s="265"/>
      <c r="W343" s="265"/>
      <c r="X343" s="265"/>
      <c r="Y343" s="265"/>
      <c r="Z343" s="265"/>
      <c r="AA343" s="266"/>
    </row>
    <row r="344" spans="1:27" ht="43.15" customHeight="1" x14ac:dyDescent="0.25">
      <c r="A344" s="147" t="s">
        <v>945</v>
      </c>
      <c r="B344" s="296" t="s">
        <v>964</v>
      </c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8"/>
      <c r="U344" s="148"/>
      <c r="V344" s="149"/>
      <c r="W344" s="149"/>
      <c r="X344" s="149"/>
      <c r="Y344" s="149"/>
      <c r="Z344" s="149"/>
      <c r="AA344" s="150"/>
    </row>
    <row r="345" spans="1:27" ht="94.15" customHeight="1" x14ac:dyDescent="0.25">
      <c r="A345" s="147" t="s">
        <v>947</v>
      </c>
      <c r="B345" s="268" t="s">
        <v>946</v>
      </c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4"/>
      <c r="V345" s="265"/>
      <c r="W345" s="265"/>
      <c r="X345" s="265"/>
      <c r="Y345" s="265"/>
      <c r="Z345" s="265"/>
      <c r="AA345" s="266"/>
    </row>
    <row r="346" spans="1:27" ht="43.15" customHeight="1" x14ac:dyDescent="0.25">
      <c r="A346" s="147" t="s">
        <v>948</v>
      </c>
      <c r="B346" s="263" t="s">
        <v>966</v>
      </c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  <c r="P346" s="263"/>
      <c r="Q346" s="263"/>
      <c r="R346" s="263"/>
      <c r="S346" s="263"/>
      <c r="T346" s="263"/>
      <c r="U346" s="264"/>
      <c r="V346" s="265"/>
      <c r="W346" s="265"/>
      <c r="X346" s="265"/>
      <c r="Y346" s="265"/>
      <c r="Z346" s="265"/>
      <c r="AA346" s="266"/>
    </row>
    <row r="347" spans="1:27" ht="43.15" customHeight="1" x14ac:dyDescent="0.25">
      <c r="A347" s="147" t="s">
        <v>949</v>
      </c>
      <c r="B347" s="263" t="s">
        <v>425</v>
      </c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3"/>
      <c r="R347" s="263"/>
      <c r="S347" s="263"/>
      <c r="T347" s="263"/>
      <c r="U347" s="264"/>
      <c r="V347" s="265"/>
      <c r="W347" s="265"/>
      <c r="X347" s="265"/>
      <c r="Y347" s="265"/>
      <c r="Z347" s="265"/>
      <c r="AA347" s="266"/>
    </row>
    <row r="348" spans="1:27" ht="43.15" customHeight="1" x14ac:dyDescent="0.25">
      <c r="A348" s="147" t="s">
        <v>951</v>
      </c>
      <c r="B348" s="263" t="s">
        <v>950</v>
      </c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  <c r="P348" s="263"/>
      <c r="Q348" s="263"/>
      <c r="R348" s="263"/>
      <c r="S348" s="263"/>
      <c r="T348" s="263"/>
      <c r="U348" s="264"/>
      <c r="V348" s="265"/>
      <c r="W348" s="265"/>
      <c r="X348" s="265"/>
      <c r="Y348" s="265"/>
      <c r="Z348" s="265"/>
      <c r="AA348" s="266"/>
    </row>
    <row r="349" spans="1:27" ht="49.9" customHeight="1" x14ac:dyDescent="0.25">
      <c r="A349" s="147" t="s">
        <v>952</v>
      </c>
      <c r="B349" s="263" t="s">
        <v>427</v>
      </c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4"/>
      <c r="V349" s="265"/>
      <c r="W349" s="265"/>
      <c r="X349" s="265"/>
      <c r="Y349" s="265"/>
      <c r="Z349" s="265"/>
      <c r="AA349" s="266"/>
    </row>
    <row r="350" spans="1:27" ht="49.9" customHeight="1" x14ac:dyDescent="0.25">
      <c r="A350" s="147" t="s">
        <v>954</v>
      </c>
      <c r="B350" s="263" t="s">
        <v>953</v>
      </c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  <c r="P350" s="263"/>
      <c r="Q350" s="263"/>
      <c r="R350" s="263"/>
      <c r="S350" s="263"/>
      <c r="T350" s="263"/>
      <c r="U350" s="264"/>
      <c r="V350" s="265"/>
      <c r="W350" s="265"/>
      <c r="X350" s="265"/>
      <c r="Y350" s="265"/>
      <c r="Z350" s="265"/>
      <c r="AA350" s="266"/>
    </row>
    <row r="351" spans="1:27" ht="49.9" customHeight="1" x14ac:dyDescent="0.25">
      <c r="A351" s="147" t="s">
        <v>955</v>
      </c>
      <c r="B351" s="263" t="s">
        <v>429</v>
      </c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263"/>
      <c r="T351" s="263"/>
      <c r="U351" s="264"/>
      <c r="V351" s="265"/>
      <c r="W351" s="265"/>
      <c r="X351" s="265"/>
      <c r="Y351" s="265"/>
      <c r="Z351" s="265"/>
      <c r="AA351" s="266"/>
    </row>
    <row r="352" spans="1:27" ht="36.6" customHeight="1" x14ac:dyDescent="0.25">
      <c r="A352" s="147" t="s">
        <v>956</v>
      </c>
      <c r="B352" s="263" t="s">
        <v>430</v>
      </c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  <c r="R352" s="263"/>
      <c r="S352" s="263"/>
      <c r="T352" s="263"/>
      <c r="U352" s="264"/>
      <c r="V352" s="265"/>
      <c r="W352" s="265"/>
      <c r="X352" s="265"/>
      <c r="Y352" s="265"/>
      <c r="Z352" s="265"/>
      <c r="AA352" s="266"/>
    </row>
    <row r="353" spans="1:27" ht="36.6" customHeight="1" x14ac:dyDescent="0.25">
      <c r="A353" s="147" t="s">
        <v>957</v>
      </c>
      <c r="B353" s="263" t="s">
        <v>431</v>
      </c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  <c r="P353" s="263"/>
      <c r="Q353" s="263"/>
      <c r="R353" s="263"/>
      <c r="S353" s="263"/>
      <c r="T353" s="263"/>
      <c r="U353" s="264"/>
      <c r="V353" s="265"/>
      <c r="W353" s="265"/>
      <c r="X353" s="265"/>
      <c r="Y353" s="265"/>
      <c r="Z353" s="265"/>
      <c r="AA353" s="266"/>
    </row>
    <row r="354" spans="1:27" ht="44.45" customHeight="1" x14ac:dyDescent="0.25">
      <c r="A354" s="147" t="s">
        <v>958</v>
      </c>
      <c r="B354" s="263" t="s">
        <v>432</v>
      </c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  <c r="Q354" s="263"/>
      <c r="R354" s="263"/>
      <c r="S354" s="263"/>
      <c r="T354" s="263"/>
      <c r="U354" s="264"/>
      <c r="V354" s="265"/>
      <c r="W354" s="265"/>
      <c r="X354" s="265"/>
      <c r="Y354" s="265"/>
      <c r="Z354" s="265"/>
      <c r="AA354" s="266"/>
    </row>
    <row r="355" spans="1:27" ht="44.45" customHeight="1" x14ac:dyDescent="0.25">
      <c r="A355" s="147" t="s">
        <v>959</v>
      </c>
      <c r="B355" s="263" t="s">
        <v>433</v>
      </c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  <c r="Q355" s="263"/>
      <c r="R355" s="263"/>
      <c r="S355" s="263"/>
      <c r="T355" s="263"/>
      <c r="U355" s="264"/>
      <c r="V355" s="265"/>
      <c r="W355" s="265"/>
      <c r="X355" s="265"/>
      <c r="Y355" s="265"/>
      <c r="Z355" s="265"/>
      <c r="AA355" s="266"/>
    </row>
    <row r="356" spans="1:27" ht="36.6" customHeight="1" x14ac:dyDescent="0.25">
      <c r="A356" s="147" t="s">
        <v>965</v>
      </c>
      <c r="B356" s="263" t="s">
        <v>434</v>
      </c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4"/>
      <c r="V356" s="265"/>
      <c r="W356" s="265"/>
      <c r="X356" s="265"/>
      <c r="Y356" s="265"/>
      <c r="Z356" s="265"/>
      <c r="AA356" s="266"/>
    </row>
  </sheetData>
  <sheetProtection algorithmName="SHA-512" hashValue="ucvQcKimvxpoMPV8/HNx56gM6yZZSMZHFuP3K63e5yNCDkK1Ea+oPq6+JNy2ju8p9742HDr5aaesv/O+26kmBg==" saltValue="m3p1WilzqVHsQ35ycFvnDg==" spinCount="100000" sheet="1" formatCells="0" formatColumns="0" formatRows="0" insertColumns="0" insertRows="0" autoFilter="0" pivotTables="0"/>
  <autoFilter ref="A9:AA356" xr:uid="{00000000-0009-0000-0000-000001000000}"/>
  <mergeCells count="480">
    <mergeCell ref="D315:E315"/>
    <mergeCell ref="K315:L315"/>
    <mergeCell ref="D316:E316"/>
    <mergeCell ref="K316:L316"/>
    <mergeCell ref="D314:E314"/>
    <mergeCell ref="K314:L314"/>
    <mergeCell ref="D313:E313"/>
    <mergeCell ref="K313:L313"/>
    <mergeCell ref="B344:T344"/>
    <mergeCell ref="G280:H280"/>
    <mergeCell ref="I280:K280"/>
    <mergeCell ref="L280:M280"/>
    <mergeCell ref="G310:H310"/>
    <mergeCell ref="G311:H311"/>
    <mergeCell ref="G277:H277"/>
    <mergeCell ref="I277:K277"/>
    <mergeCell ref="L277:M277"/>
    <mergeCell ref="G278:H278"/>
    <mergeCell ref="I278:K278"/>
    <mergeCell ref="L278:M278"/>
    <mergeCell ref="G279:H279"/>
    <mergeCell ref="I279:K279"/>
    <mergeCell ref="L279:M279"/>
    <mergeCell ref="G269:H269"/>
    <mergeCell ref="I269:K269"/>
    <mergeCell ref="L269:M269"/>
    <mergeCell ref="G263:H263"/>
    <mergeCell ref="G264:H264"/>
    <mergeCell ref="I263:K263"/>
    <mergeCell ref="I264:K264"/>
    <mergeCell ref="L263:M263"/>
    <mergeCell ref="L264:M264"/>
    <mergeCell ref="G266:H266"/>
    <mergeCell ref="I266:K266"/>
    <mergeCell ref="L266:M266"/>
    <mergeCell ref="G267:H267"/>
    <mergeCell ref="I267:K267"/>
    <mergeCell ref="L267:M267"/>
    <mergeCell ref="G268:H268"/>
    <mergeCell ref="I268:K268"/>
    <mergeCell ref="L268:M268"/>
    <mergeCell ref="I249:K249"/>
    <mergeCell ref="L246:M246"/>
    <mergeCell ref="L247:M247"/>
    <mergeCell ref="L248:M248"/>
    <mergeCell ref="L249:M249"/>
    <mergeCell ref="L251:M251"/>
    <mergeCell ref="L255:M255"/>
    <mergeCell ref="G265:H265"/>
    <mergeCell ref="I265:K265"/>
    <mergeCell ref="L265:M265"/>
    <mergeCell ref="G246:H246"/>
    <mergeCell ref="G247:H247"/>
    <mergeCell ref="G248:H248"/>
    <mergeCell ref="G249:H249"/>
    <mergeCell ref="G251:H251"/>
    <mergeCell ref="G255:H255"/>
    <mergeCell ref="I251:K251"/>
    <mergeCell ref="I255:K255"/>
    <mergeCell ref="G256:H256"/>
    <mergeCell ref="I256:K256"/>
    <mergeCell ref="L256:M256"/>
    <mergeCell ref="G257:H257"/>
    <mergeCell ref="I257:K257"/>
    <mergeCell ref="L257:M257"/>
    <mergeCell ref="I258:K258"/>
    <mergeCell ref="L258:M258"/>
    <mergeCell ref="G252:H252"/>
    <mergeCell ref="I252:K252"/>
    <mergeCell ref="L252:M252"/>
    <mergeCell ref="G253:H253"/>
    <mergeCell ref="I253:K253"/>
    <mergeCell ref="L253:M253"/>
    <mergeCell ref="G254:H254"/>
    <mergeCell ref="I254:K254"/>
    <mergeCell ref="L254:M254"/>
    <mergeCell ref="G258:H258"/>
    <mergeCell ref="G240:H240"/>
    <mergeCell ref="I240:K240"/>
    <mergeCell ref="L240:M240"/>
    <mergeCell ref="G242:H242"/>
    <mergeCell ref="I242:K242"/>
    <mergeCell ref="L242:M242"/>
    <mergeCell ref="G236:H236"/>
    <mergeCell ref="G237:H237"/>
    <mergeCell ref="G238:H238"/>
    <mergeCell ref="G239:H239"/>
    <mergeCell ref="G241:H241"/>
    <mergeCell ref="L236:M236"/>
    <mergeCell ref="L237:M237"/>
    <mergeCell ref="L238:M238"/>
    <mergeCell ref="L239:M239"/>
    <mergeCell ref="L241:M241"/>
    <mergeCell ref="I236:K236"/>
    <mergeCell ref="I237:K237"/>
    <mergeCell ref="I238:K238"/>
    <mergeCell ref="I239:K239"/>
    <mergeCell ref="I241:K241"/>
    <mergeCell ref="G233:H233"/>
    <mergeCell ref="I233:K233"/>
    <mergeCell ref="L233:M233"/>
    <mergeCell ref="G234:H234"/>
    <mergeCell ref="I234:K234"/>
    <mergeCell ref="L234:M234"/>
    <mergeCell ref="G235:H235"/>
    <mergeCell ref="I235:K235"/>
    <mergeCell ref="L235:M235"/>
    <mergeCell ref="G168:H168"/>
    <mergeCell ref="I168:K168"/>
    <mergeCell ref="L168:M168"/>
    <mergeCell ref="G175:H175"/>
    <mergeCell ref="I175:K175"/>
    <mergeCell ref="L175:M175"/>
    <mergeCell ref="G174:H174"/>
    <mergeCell ref="I174:K174"/>
    <mergeCell ref="L174:M174"/>
    <mergeCell ref="G169:H169"/>
    <mergeCell ref="G170:H170"/>
    <mergeCell ref="G171:H171"/>
    <mergeCell ref="G172:H172"/>
    <mergeCell ref="G173:H173"/>
    <mergeCell ref="I169:K169"/>
    <mergeCell ref="I170:K170"/>
    <mergeCell ref="I171:K171"/>
    <mergeCell ref="I172:K172"/>
    <mergeCell ref="I173:K173"/>
    <mergeCell ref="L169:M169"/>
    <mergeCell ref="L170:M170"/>
    <mergeCell ref="L171:M171"/>
    <mergeCell ref="L172:M172"/>
    <mergeCell ref="L173:M173"/>
    <mergeCell ref="G165:H165"/>
    <mergeCell ref="I165:K165"/>
    <mergeCell ref="L165:M165"/>
    <mergeCell ref="G166:H166"/>
    <mergeCell ref="I166:K166"/>
    <mergeCell ref="L166:M166"/>
    <mergeCell ref="G167:H167"/>
    <mergeCell ref="I167:K167"/>
    <mergeCell ref="L167:M167"/>
    <mergeCell ref="I164:K164"/>
    <mergeCell ref="L164:M164"/>
    <mergeCell ref="G160:H160"/>
    <mergeCell ref="G161:H161"/>
    <mergeCell ref="G162:H162"/>
    <mergeCell ref="G163:H163"/>
    <mergeCell ref="I160:K160"/>
    <mergeCell ref="I161:K161"/>
    <mergeCell ref="I162:K162"/>
    <mergeCell ref="I163:K163"/>
    <mergeCell ref="L160:M160"/>
    <mergeCell ref="L161:M161"/>
    <mergeCell ref="L162:M162"/>
    <mergeCell ref="L163:M163"/>
    <mergeCell ref="G153:H153"/>
    <mergeCell ref="I153:K153"/>
    <mergeCell ref="L153:M153"/>
    <mergeCell ref="G154:H154"/>
    <mergeCell ref="I154:K154"/>
    <mergeCell ref="L154:M154"/>
    <mergeCell ref="G155:H155"/>
    <mergeCell ref="I155:K155"/>
    <mergeCell ref="L155:M155"/>
    <mergeCell ref="G150:H150"/>
    <mergeCell ref="I150:K150"/>
    <mergeCell ref="L150:M150"/>
    <mergeCell ref="G151:H151"/>
    <mergeCell ref="I151:K151"/>
    <mergeCell ref="L151:M151"/>
    <mergeCell ref="G149:H149"/>
    <mergeCell ref="I149:K149"/>
    <mergeCell ref="G152:H152"/>
    <mergeCell ref="I152:K152"/>
    <mergeCell ref="L152:M152"/>
    <mergeCell ref="N154:O154"/>
    <mergeCell ref="N158:O158"/>
    <mergeCell ref="N161:O161"/>
    <mergeCell ref="N162:O162"/>
    <mergeCell ref="G142:H142"/>
    <mergeCell ref="I142:K142"/>
    <mergeCell ref="L142:M142"/>
    <mergeCell ref="G143:H143"/>
    <mergeCell ref="I143:K143"/>
    <mergeCell ref="L143:M143"/>
    <mergeCell ref="G144:H144"/>
    <mergeCell ref="G145:H145"/>
    <mergeCell ref="I144:K144"/>
    <mergeCell ref="I145:K145"/>
    <mergeCell ref="L144:M144"/>
    <mergeCell ref="L145:M145"/>
    <mergeCell ref="G146:H146"/>
    <mergeCell ref="I146:K146"/>
    <mergeCell ref="L146:M146"/>
    <mergeCell ref="G147:H147"/>
    <mergeCell ref="I147:K147"/>
    <mergeCell ref="L147:M147"/>
    <mergeCell ref="G148:H148"/>
    <mergeCell ref="I148:K148"/>
    <mergeCell ref="Q175:R175"/>
    <mergeCell ref="Q233:R233"/>
    <mergeCell ref="Q238:R238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Q157:R157"/>
    <mergeCell ref="Q158:R158"/>
    <mergeCell ref="Q159:R159"/>
    <mergeCell ref="Q161:R161"/>
    <mergeCell ref="Q162:R162"/>
    <mergeCell ref="Q234:R234"/>
    <mergeCell ref="Q174:R174"/>
    <mergeCell ref="Q166:R166"/>
    <mergeCell ref="Q236:R236"/>
    <mergeCell ref="Q237:R237"/>
    <mergeCell ref="Q239:R239"/>
    <mergeCell ref="Q240:R240"/>
    <mergeCell ref="Q241:R241"/>
    <mergeCell ref="Q242:R242"/>
    <mergeCell ref="Q243:R243"/>
    <mergeCell ref="Q244:R244"/>
    <mergeCell ref="Q250:R250"/>
    <mergeCell ref="Q248:R248"/>
    <mergeCell ref="Q249:R249"/>
    <mergeCell ref="Q246:R246"/>
    <mergeCell ref="Q247:R247"/>
    <mergeCell ref="D234:E234"/>
    <mergeCell ref="N235:O235"/>
    <mergeCell ref="N240:O240"/>
    <mergeCell ref="N241:O241"/>
    <mergeCell ref="N153:O153"/>
    <mergeCell ref="N159:O159"/>
    <mergeCell ref="N166:O166"/>
    <mergeCell ref="N170:O170"/>
    <mergeCell ref="N171:O171"/>
    <mergeCell ref="N172:O172"/>
    <mergeCell ref="N173:O173"/>
    <mergeCell ref="D236:E236"/>
    <mergeCell ref="N236:O236"/>
    <mergeCell ref="D174:E174"/>
    <mergeCell ref="D175:E175"/>
    <mergeCell ref="D233:E233"/>
    <mergeCell ref="D235:E235"/>
    <mergeCell ref="N164:O164"/>
    <mergeCell ref="N165:O165"/>
    <mergeCell ref="N168:O168"/>
    <mergeCell ref="N169:O169"/>
    <mergeCell ref="D167:E167"/>
    <mergeCell ref="N155:O155"/>
    <mergeCell ref="N156:O156"/>
    <mergeCell ref="Q235:R235"/>
    <mergeCell ref="D259:E259"/>
    <mergeCell ref="N259:O259"/>
    <mergeCell ref="N252:O252"/>
    <mergeCell ref="N253:O253"/>
    <mergeCell ref="D142:E142"/>
    <mergeCell ref="D151:E151"/>
    <mergeCell ref="D258:E258"/>
    <mergeCell ref="D143:E143"/>
    <mergeCell ref="D144:E144"/>
    <mergeCell ref="D145:E145"/>
    <mergeCell ref="D146:E146"/>
    <mergeCell ref="D147:E147"/>
    <mergeCell ref="D148:E148"/>
    <mergeCell ref="D149:E149"/>
    <mergeCell ref="D152:E152"/>
    <mergeCell ref="D154:E154"/>
    <mergeCell ref="D158:E158"/>
    <mergeCell ref="D161:E161"/>
    <mergeCell ref="D162:E162"/>
    <mergeCell ref="D164:E164"/>
    <mergeCell ref="D165:E165"/>
    <mergeCell ref="D240:E240"/>
    <mergeCell ref="N174:O174"/>
    <mergeCell ref="N143:O143"/>
    <mergeCell ref="D243:E243"/>
    <mergeCell ref="D244:E244"/>
    <mergeCell ref="N245:O245"/>
    <mergeCell ref="D245:E245"/>
    <mergeCell ref="D249:E249"/>
    <mergeCell ref="D250:E250"/>
    <mergeCell ref="N242:O242"/>
    <mergeCell ref="N243:O243"/>
    <mergeCell ref="N244:O244"/>
    <mergeCell ref="G243:H243"/>
    <mergeCell ref="I243:K243"/>
    <mergeCell ref="L243:M243"/>
    <mergeCell ref="G244:H244"/>
    <mergeCell ref="I244:K244"/>
    <mergeCell ref="L244:M244"/>
    <mergeCell ref="G245:H245"/>
    <mergeCell ref="I245:K245"/>
    <mergeCell ref="L245:M245"/>
    <mergeCell ref="G250:H250"/>
    <mergeCell ref="I250:K250"/>
    <mergeCell ref="L250:M250"/>
    <mergeCell ref="I246:K246"/>
    <mergeCell ref="I247:K247"/>
    <mergeCell ref="I248:K248"/>
    <mergeCell ref="D170:E170"/>
    <mergeCell ref="D252:E252"/>
    <mergeCell ref="D253:E253"/>
    <mergeCell ref="D254:E254"/>
    <mergeCell ref="D263:E263"/>
    <mergeCell ref="D255:E255"/>
    <mergeCell ref="Q259:R259"/>
    <mergeCell ref="A2:AA2"/>
    <mergeCell ref="A3:AA3"/>
    <mergeCell ref="A4:AA4"/>
    <mergeCell ref="A6:A9"/>
    <mergeCell ref="B6:B9"/>
    <mergeCell ref="C6:C9"/>
    <mergeCell ref="U6:AA7"/>
    <mergeCell ref="O6:O9"/>
    <mergeCell ref="P6:P9"/>
    <mergeCell ref="Q6:Q9"/>
    <mergeCell ref="R6:R9"/>
    <mergeCell ref="S6:S9"/>
    <mergeCell ref="U8:W8"/>
    <mergeCell ref="X8:Z8"/>
    <mergeCell ref="AA8:AA9"/>
    <mergeCell ref="T6:T9"/>
    <mergeCell ref="D6:D9"/>
    <mergeCell ref="D153:E153"/>
    <mergeCell ref="D155:E155"/>
    <mergeCell ref="D156:E156"/>
    <mergeCell ref="D157:E157"/>
    <mergeCell ref="D159:E159"/>
    <mergeCell ref="D160:E160"/>
    <mergeCell ref="D163:E163"/>
    <mergeCell ref="D166:E166"/>
    <mergeCell ref="R142:S142"/>
    <mergeCell ref="E6:E9"/>
    <mergeCell ref="N6:N9"/>
    <mergeCell ref="N148:O148"/>
    <mergeCell ref="N149:O149"/>
    <mergeCell ref="N150:O150"/>
    <mergeCell ref="N151:O151"/>
    <mergeCell ref="N152:O152"/>
    <mergeCell ref="D150:E150"/>
    <mergeCell ref="D76:E76"/>
    <mergeCell ref="F6:F9"/>
    <mergeCell ref="G6:G9"/>
    <mergeCell ref="H6:H9"/>
    <mergeCell ref="I6:I9"/>
    <mergeCell ref="J6:J9"/>
    <mergeCell ref="K6:K9"/>
    <mergeCell ref="L6:L9"/>
    <mergeCell ref="M6:M9"/>
    <mergeCell ref="N144:O144"/>
    <mergeCell ref="N145:O145"/>
    <mergeCell ref="N146:O146"/>
    <mergeCell ref="N147:O147"/>
    <mergeCell ref="L148:M148"/>
    <mergeCell ref="L149:M149"/>
    <mergeCell ref="Q170:R170"/>
    <mergeCell ref="Q171:R171"/>
    <mergeCell ref="Q172:R172"/>
    <mergeCell ref="Q173:R173"/>
    <mergeCell ref="Q163:R163"/>
    <mergeCell ref="Q164:R164"/>
    <mergeCell ref="N254:O254"/>
    <mergeCell ref="N255:O255"/>
    <mergeCell ref="N256:O256"/>
    <mergeCell ref="N237:O237"/>
    <mergeCell ref="N248:O248"/>
    <mergeCell ref="N247:O247"/>
    <mergeCell ref="N239:O239"/>
    <mergeCell ref="N246:O246"/>
    <mergeCell ref="N249:O249"/>
    <mergeCell ref="N250:O250"/>
    <mergeCell ref="N238:O238"/>
    <mergeCell ref="N251:O251"/>
    <mergeCell ref="N175:O175"/>
    <mergeCell ref="N163:O163"/>
    <mergeCell ref="N167:O167"/>
    <mergeCell ref="N233:O233"/>
    <mergeCell ref="N234:O234"/>
    <mergeCell ref="Q245:R245"/>
    <mergeCell ref="N160:O160"/>
    <mergeCell ref="Q155:R155"/>
    <mergeCell ref="Q156:R156"/>
    <mergeCell ref="D168:E168"/>
    <mergeCell ref="D169:E169"/>
    <mergeCell ref="Q165:R165"/>
    <mergeCell ref="Q160:R160"/>
    <mergeCell ref="Q167:R167"/>
    <mergeCell ref="Q168:R168"/>
    <mergeCell ref="Q169:R169"/>
    <mergeCell ref="N157:O157"/>
    <mergeCell ref="G156:H156"/>
    <mergeCell ref="I156:K156"/>
    <mergeCell ref="L156:M156"/>
    <mergeCell ref="G157:H157"/>
    <mergeCell ref="I157:K157"/>
    <mergeCell ref="L157:M157"/>
    <mergeCell ref="G158:H158"/>
    <mergeCell ref="I158:K158"/>
    <mergeCell ref="L158:M158"/>
    <mergeCell ref="G159:H159"/>
    <mergeCell ref="I159:K159"/>
    <mergeCell ref="L159:M159"/>
    <mergeCell ref="G164:H164"/>
    <mergeCell ref="Q251:R251"/>
    <mergeCell ref="Q252:R252"/>
    <mergeCell ref="Q253:R253"/>
    <mergeCell ref="Q254:R254"/>
    <mergeCell ref="Q255:R255"/>
    <mergeCell ref="Q256:R256"/>
    <mergeCell ref="Q257:R257"/>
    <mergeCell ref="Q258:R258"/>
    <mergeCell ref="D171:E171"/>
    <mergeCell ref="D172:E172"/>
    <mergeCell ref="D173:E173"/>
    <mergeCell ref="N257:O257"/>
    <mergeCell ref="N258:O258"/>
    <mergeCell ref="D237:E237"/>
    <mergeCell ref="D256:E256"/>
    <mergeCell ref="D257:E257"/>
    <mergeCell ref="D238:E238"/>
    <mergeCell ref="D239:E239"/>
    <mergeCell ref="D246:E246"/>
    <mergeCell ref="D247:E247"/>
    <mergeCell ref="D248:E248"/>
    <mergeCell ref="D251:E251"/>
    <mergeCell ref="D242:E242"/>
    <mergeCell ref="D241:E241"/>
    <mergeCell ref="B333:T333"/>
    <mergeCell ref="B334:T334"/>
    <mergeCell ref="U334:AA334"/>
    <mergeCell ref="B335:T335"/>
    <mergeCell ref="U335:AA335"/>
    <mergeCell ref="B336:T336"/>
    <mergeCell ref="U336:AA336"/>
    <mergeCell ref="B337:T337"/>
    <mergeCell ref="U337:AA337"/>
    <mergeCell ref="B338:T338"/>
    <mergeCell ref="U338:AA338"/>
    <mergeCell ref="B339:T339"/>
    <mergeCell ref="U339:AA339"/>
    <mergeCell ref="B340:T340"/>
    <mergeCell ref="U340:AA340"/>
    <mergeCell ref="B341:T341"/>
    <mergeCell ref="U341:AA341"/>
    <mergeCell ref="B342:T342"/>
    <mergeCell ref="U342:AA342"/>
    <mergeCell ref="B343:T343"/>
    <mergeCell ref="U343:AA343"/>
    <mergeCell ref="B345:T345"/>
    <mergeCell ref="U345:AA345"/>
    <mergeCell ref="B346:T346"/>
    <mergeCell ref="U346:AA346"/>
    <mergeCell ref="B347:T347"/>
    <mergeCell ref="U347:AA347"/>
    <mergeCell ref="B348:T348"/>
    <mergeCell ref="U348:AA348"/>
    <mergeCell ref="B354:T354"/>
    <mergeCell ref="U354:AA354"/>
    <mergeCell ref="B355:T355"/>
    <mergeCell ref="U355:AA355"/>
    <mergeCell ref="B356:T356"/>
    <mergeCell ref="U356:AA356"/>
    <mergeCell ref="B349:T349"/>
    <mergeCell ref="U349:AA349"/>
    <mergeCell ref="B350:T350"/>
    <mergeCell ref="U350:AA350"/>
    <mergeCell ref="B351:T351"/>
    <mergeCell ref="U351:AA351"/>
    <mergeCell ref="B352:T352"/>
    <mergeCell ref="U352:AA352"/>
    <mergeCell ref="B353:T353"/>
    <mergeCell ref="U353:AA353"/>
  </mergeCells>
  <phoneticPr fontId="30" type="noConversion"/>
  <pageMargins left="0.51181102362204722" right="0.31496062992125984" top="0.35433070866141736" bottom="0.15748031496062992" header="0.31496062992125984" footer="0.31496062992125984"/>
  <pageSetup paperSize="9"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FSK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Хубаева Анна Игоревна</dc:creator>
  <cp:lastModifiedBy>Полозова Анжелина Алексеевна</cp:lastModifiedBy>
  <cp:lastPrinted>2022-07-08T09:46:57Z</cp:lastPrinted>
  <dcterms:created xsi:type="dcterms:W3CDTF">2022-02-28T11:48:23Z</dcterms:created>
  <dcterms:modified xsi:type="dcterms:W3CDTF">2022-07-18T12:36:03Z</dcterms:modified>
</cp:coreProperties>
</file>